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<sst xmlns="http://schemas.openxmlformats.org/spreadsheetml/2006/main" count="3787" uniqueCount="2994">
  <si>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</si>
  <si>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</si>
  <si>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</si>
  <si>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</si>
  <si>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</si>
  <si>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</si>
  <si>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</si>
  <si>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</si>
  <si>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</si>
  <si>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</si>
  <si>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</si>
  <si>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</si>
  <si>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</si>
  <si>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</si>
  <si>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</si>
  <si>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</si>
  <si>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</si>
  <si>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</si>
  <si>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</si>
  <si>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</si>
  <si>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</si>
  <si>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</si>
  <si>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</si>
  <si>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</si>
  <si>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</si>
  <si>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</si>
  <si>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</si>
  <si>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</si>
  <si>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</si>
  <si>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</si>
  <si>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</si>
  <si>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</si>
  <si>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</si>
  <si>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</si>
  <si>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</si>
  <si>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</si>
  <si>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</si>
  <si>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</si>
  <si>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</si>
  <si>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</si>
  <si>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</si>
  <si>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</si>
  <si>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</si>
  <si>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</si>
  <si>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</si>
  <si>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</si>
  <si>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</si>
  <si>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</si>
  <si>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</si>
  <si>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</si>
  <si>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</si>
  <si>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</si>
  <si>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</si>
  <si>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</si>
  <si>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</si>
  <si>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</si>
  <si>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</si>
  <si>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</si>
  <si>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</si>
  <si>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</si>
  <si>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</si>
  <si>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</si>
  <si>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</si>
  <si>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</si>
  <si>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</si>
  <si>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</si>
  <si>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</si>
  <si>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</si>
  <si>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</si>
  <si>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</si>
  <si>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</si>
  <si>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</si>
  <si>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</si>
  <si>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</si>
  <si>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</si>
  <si>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</si>
  <si>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</si>
  <si>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</si>
  <si>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</si>
  <si>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</si>
  <si>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</si>
  <si>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</si>
  <si>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</si>
  <si>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</si>
  <si>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</si>
  <si>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</si>
  <si>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</si>
  <si>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</si>
  <si>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</si>
  <si>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</si>
  <si>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</si>
  <si>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</si>
  <si>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</si>
  <si>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</si>
  <si>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</si>
  <si>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</si>
  <si>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</si>
  <si>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</si>
  <si>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</si>
  <si>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</si>
  <si>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</si>
  <si>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</si>
  <si>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</si>
  <si>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</si>
  <si>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</si>
  <si>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</si>
  <si>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</si>
  <si>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</si>
  <si>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</si>
  <si>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</si>
  <si>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</si>
  <si>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</si>
  <si>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</si>
  <si>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</si>
  <si>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</si>
  <si>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</si>
  <si>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</si>
  <si>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</si>
  <si>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</si>
  <si>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</si>
  <si>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</si>
  <si>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</si>
  <si>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</si>
  <si>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</si>
  <si>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</si>
  <si>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</si>
  <si>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</si>
  <si>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</si>
  <si>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</si>
  <si>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</si>
  <si>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</si>
  <si>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</si>
  <si>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</si>
  <si>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</si>
  <si>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</si>
  <si>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</si>
  <si>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</si>
  <si>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</si>
  <si>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</si>
  <si>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</si>
  <si>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</si>
  <si>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</si>
  <si>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</si>
  <si>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</si>
  <si>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</si>
  <si>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</si>
  <si>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</si>
  <si>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</si>
  <si>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</si>
  <si>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</si>
  <si>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</si>
  <si>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</si>
  <si>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</si>
  <si>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</si>
  <si>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</si>
  <si>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</si>
  <si>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</si>
  <si>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</si>
  <si>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</si>
  <si>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</si>
  <si>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</si>
  <si>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</si>
  <si>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</si>
  <si>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</si>
  <si>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</si>
  <si>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</si>
  <si>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</si>
  <si>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</si>
  <si>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</si>
  <si>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</si>
  <si>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</si>
  <si>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</si>
  <si>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</si>
  <si>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</si>
  <si>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</si>
  <si>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</si>
  <si>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</si>
  <si>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</si>
  <si>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</si>
  <si>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</si>
  <si>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</si>
  <si>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</si>
  <si>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</si>
  <si>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</si>
  <si>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</si>
  <si>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</si>
  <si>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</si>
  <si>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</si>
  <si>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</si>
  <si>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</si>
  <si>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</si>
  <si>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</si>
  <si>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</si>
  <si>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</si>
  <si>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</si>
  <si>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</si>
  <si>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</si>
  <si>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</si>
  <si>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</si>
  <si>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</si>
  <si>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</si>
  <si>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</si>
  <si>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</si>
  <si>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</si>
  <si>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</si>
  <si>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</si>
  <si>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</si>
  <si>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</si>
  <si>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</si>
  <si>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</si>
  <si>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</si>
  <si>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</si>
  <si>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</si>
  <si>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</si>
  <si>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</si>
  <si>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</si>
  <si>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</si>
  <si>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</si>
  <si>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</si>
  <si>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</si>
  <si>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</si>
  <si>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</si>
  <si>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</si>
  <si>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</si>
  <si>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</si>
  <si>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</si>
  <si>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</si>
  <si>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</si>
  <si>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</si>
  <si>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</si>
  <si>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</si>
  <si>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</si>
  <si>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</si>
  <si>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</si>
  <si>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</si>
  <si>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</si>
  <si>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</si>
  <si>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</si>
  <si>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</si>
  <si>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</si>
  <si>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</si>
  <si>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</si>
  <si>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</si>
  <si>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</si>
  <si>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</si>
  <si>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</si>
  <si>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</si>
  <si>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</si>
  <si>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</si>
  <si>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</si>
  <si>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</si>
  <si>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</si>
  <si>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</si>
  <si>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</si>
  <si>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</si>
  <si>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</si>
  <si>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</si>
  <si>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</si>
  <si>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</si>
  <si>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</si>
  <si>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</si>
  <si>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</si>
  <si>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</si>
  <si>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</si>
  <si>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</si>
  <si>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</si>
  <si>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</si>
  <si>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</si>
  <si>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</si>
  <si>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</si>
  <si>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</si>
  <si>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</si>
  <si>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</si>
  <si>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</si>
  <si>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</si>
  <si>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</si>
  <si>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</si>
  <si>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</si>
  <si>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</si>
  <si>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</si>
  <si>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</si>
  <si>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</si>
  <si>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</si>
  <si>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</si>
  <si>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</si>
  <si>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</si>
  <si>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</si>
  <si>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</si>
  <si>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</si>
  <si>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</si>
  <si>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</si>
  <si>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</si>
  <si>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</si>
  <si>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</si>
  <si>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</si>
  <si>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</si>
  <si>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</si>
  <si>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</si>
  <si>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</si>
  <si>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</si>
  <si>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</si>
  <si>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</si>
  <si>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</si>
  <si>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</si>
  <si>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</si>
  <si>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</si>
  <si>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</si>
  <si>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</si>
  <si>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</si>
  <si>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</si>
  <si>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</si>
  <si>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</si>
  <si>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</si>
  <si>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</si>
  <si>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</si>
  <si>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</si>
  <si>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</si>
  <si>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</si>
  <si>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</si>
  <si>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</si>
  <si>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</si>
  <si>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</si>
  <si>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</si>
  <si>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</si>
  <si>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</si>
  <si>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</si>
  <si>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</si>
  <si>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</si>
  <si>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</si>
  <si>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</si>
  <si>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</si>
  <si>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</si>
  <si>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</si>
  <si>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</si>
  <si>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</si>
  <si>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</si>
  <si>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</si>
  <si>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</si>
  <si>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</si>
  <si>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</si>
  <si>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</si>
  <si>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</si>
  <si>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</si>
  <si>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</si>
  <si>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</si>
  <si>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</si>
  <si>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</si>
  <si>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</si>
  <si>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</si>
  <si>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</si>
  <si>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</si>
  <si>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</si>
  <si>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</si>
  <si>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</si>
  <si>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</si>
  <si>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</si>
  <si>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</si>
  <si>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</si>
  <si>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</si>
  <si>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</si>
  <si>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</si>
  <si>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</si>
  <si>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</si>
  <si>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</si>
  <si>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</si>
  <si>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</si>
  <si>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</si>
  <si>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</si>
  <si>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</si>
  <si>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</si>
  <si>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</si>
  <si>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</si>
  <si>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</si>
  <si>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</si>
  <si>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</si>
  <si>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</si>
  <si>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</si>
  <si>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</si>
  <si>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</si>
  <si>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</si>
  <si>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</si>
  <si>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</si>
  <si>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</si>
  <si>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</si>
  <si>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</si>
  <si>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</si>
  <si>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</si>
  <si>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</si>
  <si>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</si>
  <si>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</si>
  <si>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</si>
  <si>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</si>
  <si>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</si>
  <si>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</si>
  <si>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</si>
  <si>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</si>
  <si>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</si>
  <si>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</si>
  <si>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</si>
  <si>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</si>
  <si>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</si>
  <si>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</si>
  <si>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</si>
  <si>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</si>
  <si>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</si>
  <si>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</si>
  <si>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</si>
  <si>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</si>
  <si>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</si>
  <si>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</si>
  <si>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</si>
  <si>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</si>
  <si>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</si>
  <si>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</si>
  <si>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</si>
  <si>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</si>
  <si>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</si>
  <si>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</si>
  <si>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</si>
  <si>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</si>
  <si>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</si>
  <si>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</si>
  <si>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</si>
  <si>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</si>
  <si>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</si>
  <si>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</si>
  <si>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</si>
  <si>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</si>
  <si>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</si>
  <si>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</si>
  <si>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</si>
  <si>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</si>
  <si>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</si>
  <si>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</si>
  <si>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</si>
  <si>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</si>
  <si>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</si>
  <si>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</si>
  <si>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</si>
  <si>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</si>
  <si>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</si>
  <si>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</si>
  <si>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</si>
  <si>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</si>
  <si>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</si>
  <si>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</si>
  <si>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</si>
  <si>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</si>
  <si>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</si>
  <si>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</si>
  <si>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</si>
  <si>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</si>
  <si>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</si>
  <si>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</si>
  <si>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</si>
  <si>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</si>
  <si>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</si>
  <si>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</si>
  <si>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</si>
  <si>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</si>
  <si>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</si>
  <si>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</si>
  <si>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</si>
  <si>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</si>
  <si>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</si>
  <si>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</si>
  <si>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</si>
  <si>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</si>
  <si>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</si>
  <si>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</si>
  <si>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</si>
  <si>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</si>
  <si>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</si>
  <si>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</si>
  <si>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</si>
  <si>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</si>
  <si>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</si>
  <si>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</si>
  <si>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</si>
  <si>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</si>
  <si>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</si>
  <si>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</si>
  <si>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</si>
  <si>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</si>
  <si>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</si>
  <si>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</si>
  <si>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</si>
  <si>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</si>
  <si>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</si>
  <si>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</si>
  <si>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</si>
  <si>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</si>
  <si>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</si>
  <si>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</si>
  <si>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</si>
  <si>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</si>
  <si>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</si>
  <si>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</si>
  <si>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</si>
  <si>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</si>
  <si>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</si>
  <si>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</si>
  <si>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</si>
  <si>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</si>
  <si>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</si>
  <si>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</si>
  <si>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</si>
  <si>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</si>
  <si>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</si>
  <si>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</si>
  <si>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</si>
  <si>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</si>
  <si>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</si>
  <si>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</si>
  <si>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</si>
  <si>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</si>
  <si>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</si>
  <si>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</si>
  <si>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</si>
  <si>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</si>
  <si>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</si>
  <si>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</si>
  <si>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</si>
  <si>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</si>
  <si>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</si>
  <si>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</si>
  <si>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</si>
  <si>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</si>
  <si>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</si>
  <si>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</si>
  <si>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</si>
  <si>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</si>
  <si>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</si>
  <si>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</si>
  <si>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</si>
  <si>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</si>
  <si>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</si>
  <si>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</si>
  <si>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</si>
  <si>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</si>
  <si>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</si>
  <si>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</si>
  <si>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</si>
  <si>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</si>
  <si>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</si>
  <si>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</si>
  <si>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</si>
  <si>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</si>
  <si>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</si>
  <si>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</si>
  <si>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</si>
  <si>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</si>
  <si>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</si>
  <si>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</si>
  <si>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</si>
  <si>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</si>
  <si>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</si>
  <si>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</si>
  <si>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</si>
  <si>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</si>
  <si>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</si>
  <si>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</si>
  <si>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</si>
  <si>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</si>
  <si>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</si>
  <si>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</si>
  <si>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</si>
  <si>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</si>
  <si>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</si>
  <si>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</si>
  <si>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</si>
  <si>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</si>
  <si>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</si>
  <si>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</si>
  <si>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</si>
  <si>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</si>
  <si>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</si>
  <si>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</si>
  <si>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</si>
  <si>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</si>
  <si>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</si>
  <si>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</si>
  <si>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</si>
  <si>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</si>
  <si>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</si>
  <si>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</si>
  <si>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</si>
  <si>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</si>
  <si>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</si>
  <si>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</si>
  <si>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</si>
  <si>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</si>
  <si>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</si>
  <si>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</si>
  <si>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</si>
  <si>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</si>
  <si>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</si>
  <si>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</si>
  <si>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</si>
  <si>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</si>
  <si>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</si>
  <si>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</si>
  <si>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</si>
  <si>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</si>
  <si>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</si>
  <si>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</si>
  <si>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</si>
  <si>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</si>
  <si>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</si>
  <si>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</si>
  <si>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</si>
  <si>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</si>
  <si>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</si>
  <si>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</si>
  <si>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</si>
  <si>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</si>
  <si>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</si>
  <si>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</si>
  <si>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</si>
  <si>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</si>
  <si>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</si>
  <si>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</si>
  <si>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</si>
  <si>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</si>
  <si>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</si>
  <si>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</si>
  <si>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</si>
  <si>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</si>
  <si>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</si>
  <si>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</si>
  <si>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</si>
  <si>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</si>
  <si>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</si>
  <si>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</si>
  <si>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</si>
  <si>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</si>
  <si>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</si>
  <si>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</si>
  <si>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</si>
  <si>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</si>
  <si>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</si>
  <si>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</si>
  <si>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</si>
  <si>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</si>
  <si>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</si>
  <si>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</si>
  <si>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</si>
  <si>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</si>
  <si>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</si>
  <si>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</si>
  <si>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</si>
  <si>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</si>
  <si>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</si>
  <si>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</si>
  <si>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</si>
  <si>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</si>
  <si>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</si>
  <si>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</si>
  <si>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</si>
  <si>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</si>
  <si>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</si>
  <si>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</si>
  <si>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</si>
  <si>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</si>
  <si>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</si>
  <si>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</si>
  <si>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</si>
  <si>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</si>
  <si>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</si>
  <si>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</si>
  <si>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</si>
  <si>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</si>
  <si>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</si>
  <si>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</si>
  <si>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</si>
  <si>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</si>
  <si>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</si>
  <si>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</si>
  <si>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</si>
  <si>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</si>
  <si>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</si>
  <si>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</si>
  <si>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</si>
  <si>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</si>
  <si>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</si>
  <si>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</si>
  <si>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</si>
  <si>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</si>
  <si>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</si>
  <si>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</si>
  <si>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</si>
  <si>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</si>
  <si>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</si>
  <si>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</si>
  <si>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</si>
  <si>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</si>
  <si>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</si>
  <si>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</si>
  <si>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</si>
  <si>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</si>
  <si>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</si>
  <si>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</si>
  <si>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</si>
  <si>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</si>
  <si>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</si>
  <si>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</si>
  <si>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</si>
  <si>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</si>
  <si>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</si>
  <si>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</si>
  <si>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</si>
  <si>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</si>
  <si>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</si>
  <si>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</si>
  <si>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</si>
  <si>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</si>
  <si>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</si>
  <si>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</si>
  <si>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</si>
  <si>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</si>
  <si>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</si>
  <si>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</si>
  <si>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</si>
  <si>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</si>
  <si>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</si>
  <si>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</si>
  <si>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</si>
  <si>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</si>
  <si>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</si>
  <si>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</si>
  <si>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</si>
  <si>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</si>
  <si>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</si>
  <si>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</si>
  <si>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</si>
  <si>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</si>
  <si>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</si>
  <si>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</si>
  <si>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</si>
  <si>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</si>
  <si>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</si>
  <si>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</si>
  <si>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</si>
  <si>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</si>
  <si>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</si>
  <si>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</si>
  <si>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</si>
  <si>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</si>
  <si>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</si>
  <si>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</si>
  <si>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</si>
  <si>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</si>
  <si>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</si>
  <si>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</si>
  <si>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</si>
  <si>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</si>
  <si>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</si>
  <si>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</si>
  <si>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</si>
  <si>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</si>
  <si>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</si>
  <si>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</si>
  <si>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</si>
  <si>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</si>
  <si>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</si>
  <si>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</si>
  <si>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</si>
  <si>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</si>
  <si>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</si>
  <si>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</si>
  <si>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</si>
  <si>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</si>
  <si>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</si>
  <si>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</si>
  <si>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</si>
  <si>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</si>
  <si>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</si>
  <si>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</si>
  <si>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</si>
  <si>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</si>
  <si>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</si>
  <si>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</si>
  <si>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</si>
  <si>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</si>
  <si>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</si>
  <si>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</si>
  <si>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</si>
  <si>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</si>
  <si>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</si>
  <si>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</si>
  <si>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</si>
  <si>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</si>
  <si>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</si>
  <si>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</si>
  <si>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</si>
  <si>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</si>
  <si>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</si>
  <si>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</si>
  <si>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</si>
  <si>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</si>
  <si>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</si>
  <si>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</si>
  <si>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</si>
  <si>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</si>
  <si>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</si>
  <si>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</si>
  <si>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</si>
  <si>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</si>
  <si>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</si>
  <si>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</si>
  <si>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</si>
  <si>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</si>
  <si>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</si>
  <si>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</si>
  <si>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</si>
  <si>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</si>
  <si>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</si>
  <si>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</si>
  <si>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</si>
  <si>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</si>
  <si>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</si>
  <si>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</si>
  <si>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</si>
  <si>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</si>
  <si>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</si>
  <si>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</si>
  <si>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</si>
  <si>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</si>
  <si>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</si>
  <si>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</si>
  <si>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</si>
  <si>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</si>
  <si>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</si>
  <si>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</si>
  <si>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</si>
  <si>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</si>
  <si>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</si>
  <si>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</si>
  <si>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</si>
  <si>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</si>
  <si>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</si>
  <si>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</si>
  <si>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</si>
  <si>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</si>
  <si>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</si>
  <si>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</si>
  <si>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</si>
  <si>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</si>
  <si>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</si>
  <si>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</si>
  <si>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</si>
  <si>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</si>
  <si>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</si>
  <si>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</si>
  <si>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</si>
  <si>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</si>
  <si>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</si>
  <si>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</si>
  <si>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</si>
  <si>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</si>
  <si>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</si>
  <si>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</si>
  <si>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</si>
  <si>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</si>
  <si>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</si>
  <si>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</si>
  <si>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</si>
  <si>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</si>
  <si>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</si>
  <si>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</si>
  <si>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</si>
  <si>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</si>
  <si>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</si>
  <si>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</si>
  <si>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</si>
  <si>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</si>
  <si>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</si>
  <si>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</si>
  <si>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</si>
  <si>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</si>
  <si>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</si>
  <si>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</si>
  <si>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</si>
  <si>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</si>
  <si>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</si>
  <si>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</si>
  <si>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</si>
  <si>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</si>
  <si>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</si>
  <si>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</si>
  <si>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</si>
  <si>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</si>
  <si>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</si>
  <si>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</si>
  <si>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</si>
  <si>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</si>
  <si>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</si>
  <si>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</si>
  <si>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</si>
  <si>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</si>
  <si>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</si>
  <si>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</si>
  <si>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</si>
  <si>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</si>
  <si>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</si>
  <si>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</si>
  <si>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</si>
  <si>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</si>
  <si>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</si>
  <si>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</si>
  <si>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</si>
  <si>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</si>
  <si>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</si>
  <si>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</si>
  <si>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</si>
  <si>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</si>
  <si>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</si>
  <si>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</si>
  <si>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</si>
  <si>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</si>
  <si>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</si>
  <si>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</si>
  <si>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</si>
  <si>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</si>
  <si>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</si>
  <si>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</si>
  <si>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</si>
  <si>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</si>
  <si>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</si>
  <si>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</si>
  <si>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</si>
  <si>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</si>
  <si>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</si>
  <si>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</si>
  <si>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</si>
  <si>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</si>
  <si>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</si>
  <si>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</si>
  <si>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</si>
  <si>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</si>
  <si>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</si>
  <si>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</si>
  <si>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</si>
  <si>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</si>
  <si>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</si>
  <si>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</si>
  <si>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</si>
  <si>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</si>
  <si>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</si>
  <si>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</si>
  <si>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</si>
  <si>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</si>
  <si>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</si>
  <si>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</si>
  <si>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</si>
  <si>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</si>
  <si>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</si>
  <si>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</si>
  <si>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</si>
  <si>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</si>
  <si>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</si>
  <si>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</si>
  <si>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</si>
  <si>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</si>
  <si>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</si>
  <si>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</si>
  <si>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</si>
  <si>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</si>
  <si>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</si>
  <si>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</si>
  <si>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</si>
  <si>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</si>
  <si>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</si>
  <si>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</si>
  <si>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</si>
  <si>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</si>
  <si>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</si>
  <si>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</si>
  <si>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</si>
  <si>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</si>
  <si>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</si>
  <si>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</si>
  <si>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</si>
  <si>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</si>
  <si>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</si>
  <si>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</si>
  <si>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</si>
  <si>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</si>
  <si>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</si>
  <si>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</si>
  <si>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</si>
  <si>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</si>
  <si>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</si>
  <si>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</si>
  <si>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</si>
  <si>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</si>
  <si>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</si>
  <si>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</si>
  <si>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</si>
  <si>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</si>
  <si>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</si>
  <si>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</si>
  <si>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</si>
  <si>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</si>
  <si>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</si>
  <si>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</si>
  <si>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</si>
  <si>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</si>
  <si>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</si>
  <si>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</si>
  <si>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</si>
  <si>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</si>
  <si>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</si>
  <si>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</si>
  <si>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</si>
  <si>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</si>
  <si>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</si>
  <si>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</si>
  <si>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</si>
  <si>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</si>
  <si>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</si>
  <si>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</si>
  <si>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</si>
  <si>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</si>
  <si>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</si>
  <si>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</si>
  <si>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</si>
  <si>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</si>
  <si>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</si>
  <si>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</si>
  <si>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</si>
  <si>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</si>
  <si>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</si>
  <si>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</si>
  <si>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</si>
  <si>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</si>
  <si>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</si>
  <si>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</si>
  <si>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</si>
  <si>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</si>
  <si>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</si>
  <si>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</si>
  <si>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</si>
  <si>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</si>
  <si>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</si>
  <si>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</si>
  <si>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</si>
  <si>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</si>
  <si>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</si>
  <si>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</si>
  <si>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</si>
  <si>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</si>
  <si>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</si>
  <si>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</si>
  <si>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</si>
  <si>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</si>
  <si>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</si>
  <si>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</si>
  <si>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</si>
  <si>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</si>
  <si>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</si>
  <si>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</si>
  <si>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</si>
  <si>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</si>
  <si>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</si>
  <si>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</si>
  <si>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</si>
  <si>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</si>
  <si>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</si>
  <si>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</si>
  <si>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</si>
  <si>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</si>
  <si>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</si>
  <si>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</si>
  <si>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</si>
  <si>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</si>
  <si>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</si>
  <si>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</si>
  <si>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</si>
  <si>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</si>
  <si>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</si>
  <si>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</si>
  <si>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</si>
  <si>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</si>
  <si>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</si>
  <si>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</si>
  <si>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</si>
  <si>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</si>
  <si>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</si>
  <si>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</si>
  <si>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</si>
  <si>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</si>
  <si>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</si>
  <si>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</si>
  <si>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</si>
  <si>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</si>
  <si>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</si>
  <si>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</si>
  <si>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</si>
  <si>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</si>
  <si>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</si>
  <si>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</si>
  <si>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</si>
  <si>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</si>
  <si>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</si>
  <si>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</si>
  <si>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</si>
  <si>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</si>
  <si>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</si>
  <si>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</si>
  <si>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</si>
  <si>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</si>
  <si>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</si>
  <si>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</si>
  <si>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</si>
  <si>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</si>
  <si>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</si>
  <si>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</si>
  <si>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</si>
  <si>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</si>
  <si>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</si>
  <si>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</si>
  <si>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</si>
  <si>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</si>
  <si>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</si>
  <si>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</si>
  <si>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</si>
  <si>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</si>
  <si>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</si>
  <si>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</si>
  <si>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</si>
  <si>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</si>
  <si>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</si>
  <si>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</si>
  <si>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</si>
  <si>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</si>
  <si>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</si>
  <si>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</si>
  <si>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</si>
  <si>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</si>
  <si>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</si>
  <si>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</si>
  <si>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</si>
  <si>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</si>
  <si>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</si>
  <si>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</si>
  <si>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</si>
  <si>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</si>
  <si>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</si>
  <si>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</si>
  <si>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</si>
  <si>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</si>
  <si>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</si>
  <si>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</si>
  <si>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</si>
  <si>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</si>
  <si>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</si>
  <si>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</si>
  <si>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</si>
  <si>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</si>
  <si>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</si>
  <si>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</si>
  <si>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</si>
  <si>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</si>
  <si>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</si>
  <si>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</si>
  <si>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</si>
  <si>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</si>
  <si>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</si>
  <si>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</si>
  <si>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</si>
  <si>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</si>
  <si>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</si>
  <si>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</si>
  <si>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</si>
  <si>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</si>
  <si>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</si>
  <si>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</si>
  <si>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</si>
  <si>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</si>
  <si>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</si>
  <si>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</si>
  <si>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</si>
  <si>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</si>
  <si>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</si>
  <si>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</si>
  <si>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</si>
  <si>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</si>
  <si>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</si>
  <si>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</si>
  <si>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</si>
  <si>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</si>
  <si>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</si>
  <si>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</si>
  <si>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</si>
  <si>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</si>
  <si>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</si>
  <si>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</si>
  <si>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</si>
  <si>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</si>
  <si>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</si>
  <si>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</si>
  <si>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</si>
  <si>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</si>
  <si>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</si>
  <si>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</si>
  <si>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</si>
  <si>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</si>
  <si>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</si>
  <si>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</si>
  <si>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</si>
  <si>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</si>
  <si>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</si>
  <si>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</si>
  <si>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</si>
  <si>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</si>
  <si>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</si>
  <si>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</si>
  <si>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</si>
  <si>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</si>
  <si>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</si>
  <si>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</si>
  <si>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</si>
  <si>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</si>
  <si>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</si>
  <si>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</si>
  <si>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</si>
  <si>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</si>
  <si>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</si>
  <si>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</si>
  <si>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</si>
  <si>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</si>
  <si>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</si>
  <si>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</si>
  <si>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</si>
  <si>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</si>
  <si>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</si>
  <si>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</si>
  <si>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</si>
  <si>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</si>
  <si>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</si>
  <si>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</si>
  <si>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</si>
  <si>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</si>
  <si>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</si>
  <si>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</si>
  <si>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</si>
  <si>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</si>
  <si>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</si>
  <si>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</si>
  <si>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</si>
  <si>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</si>
  <si>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</si>
  <si>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</si>
  <si>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</si>
  <si>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</si>
  <si>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</si>
  <si>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</si>
  <si>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</si>
  <si>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</si>
  <si>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</si>
  <si>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</si>
  <si>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</si>
  <si>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</si>
  <si>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</si>
  <si>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</si>
  <si>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</si>
  <si>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</si>
  <si>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</si>
  <si>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</si>
  <si>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</si>
  <si>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</si>
  <si>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</si>
  <si>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</si>
  <si>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</si>
  <si>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</si>
  <si>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</si>
  <si>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</si>
  <si>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</si>
  <si>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</si>
  <si>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</si>
  <si>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</si>
  <si>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</si>
  <si>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</si>
  <si>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</si>
  <si>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</si>
  <si>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</si>
  <si>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</si>
  <si>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</si>
  <si>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</si>
  <si>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</si>
  <si>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</si>
  <si>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</si>
  <si>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</si>
  <si>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</si>
  <si>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</si>
  <si>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</si>
  <si>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</si>
  <si>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</si>
  <si>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</si>
  <si>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</si>
  <si>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</si>
  <si>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</si>
  <si>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</si>
  <si>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</si>
  <si>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</si>
  <si>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</si>
  <si>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</si>
  <si>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</si>
  <si>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</si>
  <si>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</si>
  <si>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</si>
  <si>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</si>
  <si>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</si>
  <si>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</si>
  <si>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</si>
  <si>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</si>
  <si>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</si>
  <si>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</si>
  <si>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</si>
  <si>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</si>
  <si>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</si>
  <si>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</si>
  <si>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</si>
  <si>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</si>
  <si>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</si>
  <si>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</si>
  <si>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</si>
  <si>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</si>
  <si>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</si>
  <si>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</si>
  <si>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</si>
  <si>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</si>
  <si>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</si>
  <si>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</si>
  <si>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</si>
  <si>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</si>
  <si>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</si>
  <si>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</si>
  <si>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</si>
  <si>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</si>
  <si>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</si>
  <si>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</si>
  <si>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</si>
  <si>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</si>
  <si>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</si>
  <si>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</si>
  <si>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</si>
  <si>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</si>
  <si>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</si>
  <si>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</si>
  <si>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</si>
  <si>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</si>
  <si>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</si>
  <si>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</si>
  <si>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</si>
  <si>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</si>
  <si>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</si>
  <si>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</si>
  <si>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</si>
  <si>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</si>
  <si>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</si>
  <si>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</si>
  <si>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</si>
  <si>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</si>
  <si>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</si>
  <si>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</si>
  <si>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</si>
  <si>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</si>
  <si>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</si>
  <si>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</si>
  <si>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</si>
  <si>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</si>
  <si>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</si>
  <si>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</si>
  <si>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</si>
  <si>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</si>
  <si>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</si>
  <si>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</si>
  <si>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</si>
  <si>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</si>
  <si>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</si>
  <si>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</si>
  <si>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</si>
  <si>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</si>
  <si>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</si>
  <si>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</si>
  <si>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</si>
  <si>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</si>
  <si>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</si>
  <si>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</si>
  <si>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</si>
  <si>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</si>
  <si>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</si>
  <si>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</si>
  <si>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</si>
  <si>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</si>
  <si>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</si>
  <si>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</si>
  <si>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</si>
  <si>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</si>
  <si>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</si>
  <si>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</si>
  <si>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</si>
  <si>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</si>
  <si>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</si>
  <si>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</si>
  <si>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</si>
  <si>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</si>
  <si>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</si>
  <si>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</si>
  <si>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</si>
  <si>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</si>
  <si>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</si>
  <si>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</si>
  <si>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</si>
  <si>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</si>
  <si>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</si>
  <si>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</si>
  <si>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</si>
  <si>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</si>
  <si>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</si>
  <si>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</si>
  <si>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</si>
  <si>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</si>
  <si>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</si>
  <si>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</si>
  <si>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</si>
  <si>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</si>
  <si>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</si>
  <si>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</si>
  <si>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</si>
  <si>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</si>
  <si>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</si>
  <si>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</si>
  <si>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</si>
  <si>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</si>
  <si>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</si>
  <si>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</si>
  <si>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</si>
  <si>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</si>
  <si>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</si>
  <si>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</si>
  <si>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</si>
  <si>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</si>
  <si>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</si>
  <si>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</si>
  <si>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</si>
  <si>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</si>
  <si>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</si>
  <si>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</si>
  <si>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</si>
  <si>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</si>
  <si>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</si>
  <si>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</si>
  <si>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</si>
  <si>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</si>
  <si>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</si>
  <si>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</si>
  <si>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</si>
  <si>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</si>
  <si>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</si>
  <si>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</si>
  <si>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</si>
  <si>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</si>
  <si>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</si>
  <si>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</si>
  <si>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</si>
  <si>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</si>
  <si>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</si>
  <si>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</si>
  <si>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</si>
  <si>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</si>
  <si>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</si>
  <si>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</si>
  <si>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</si>
  <si>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</si>
  <si>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</si>
  <si>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</si>
  <si>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</si>
  <si>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</si>
  <si>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</si>
  <si>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</si>
  <si>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</si>
  <si>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</si>
  <si>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</si>
  <si>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</si>
  <si>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</si>
  <si>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</si>
  <si>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</si>
  <si>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</si>
  <si>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</si>
  <si>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</si>
  <si>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</si>
  <si>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</si>
  <si>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</si>
  <si>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</si>
  <si>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</si>
  <si>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</si>
  <si>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</si>
  <si>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</si>
  <si>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</si>
  <si>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</si>
  <si>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</si>
  <si>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</si>
  <si>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</si>
  <si>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</si>
  <si>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</si>
  <si>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</si>
  <si>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</si>
  <si>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</si>
  <si>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</si>
  <si>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</si>
  <si>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</si>
  <si>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</si>
  <si>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</si>
  <si>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</si>
  <si>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</si>
  <si>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</si>
  <si>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</si>
  <si>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</si>
  <si>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</si>
  <si>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</si>
  <si>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</si>
  <si>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</si>
  <si>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</si>
  <si>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</si>
  <si>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</si>
  <si>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</si>
  <si>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</si>
  <si>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</si>
  <si>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</si>
  <si>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</si>
  <si>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</si>
  <si>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</si>
  <si>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</si>
  <si>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</si>
  <si>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</si>
  <si>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</si>
  <si>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</si>
  <si>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</si>
  <si>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</si>
  <si>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</si>
  <si>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</si>
  <si>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</si>
  <si>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</si>
  <si>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</si>
  <si>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</si>
  <si>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</si>
  <si>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</si>
  <si>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</si>
  <si>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</si>
  <si>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</si>
  <si>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</si>
  <si>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</si>
  <si>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</si>
  <si>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</si>
  <si>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</si>
  <si>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</si>
  <si>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</si>
  <si>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</si>
  <si>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</si>
  <si>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</si>
  <si>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</si>
  <si>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</si>
  <si>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</si>
  <si>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</si>
  <si>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</si>
  <si>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</si>
  <si>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</si>
  <si>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</si>
  <si>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</si>
  <si>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</si>
  <si>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</si>
  <si>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</si>
  <si>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</si>
  <si>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</si>
  <si>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</si>
  <si>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</si>
  <si>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</si>
  <si>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</si>
  <si>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</si>
  <si>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</si>
  <si>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</si>
  <si>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</si>
  <si>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</si>
  <si>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</si>
  <si>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</si>
  <si>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</si>
  <si>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</si>
  <si>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</si>
  <si>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</si>
  <si>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</si>
  <si>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</si>
  <si>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</si>
  <si>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</si>
  <si>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</si>
  <si>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</si>
  <si>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</si>
  <si>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</si>
  <si>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</si>
  <si>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</si>
  <si>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</si>
  <si>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</si>
  <si>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</si>
  <si>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</si>
  <si>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</si>
  <si>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</si>
  <si>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</si>
  <si>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</si>
  <si>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</si>
  <si>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</si>
  <si>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</si>
  <si>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</si>
  <si>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</si>
  <si>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</si>
  <si>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</si>
  <si>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</si>
  <si>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</si>
  <si>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</si>
  <si>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</si>
  <si>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</si>
  <si>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</si>
  <si>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</si>
  <si>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</si>
  <si>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</si>
  <si>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</si>
  <si>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</si>
  <si>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</si>
  <si>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</si>
  <si>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</si>
  <si>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</si>
  <si>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</si>
  <si>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</si>
  <si>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</si>
  <si>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</si>
  <si>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</si>
  <si>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</si>
  <si>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</si>
  <si>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</si>
  <si>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</si>
  <si>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</si>
  <si>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</si>
  <si>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</si>
  <si>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</si>
  <si>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</si>
  <si>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</si>
  <si>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</si>
  <si>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</si>
  <si>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</si>
  <si>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</si>
  <si>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</si>
  <si>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</si>
  <si>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</si>
  <si>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</si>
  <si>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</si>
  <si>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</si>
  <si>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</si>
  <si>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</si>
  <si>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</si>
  <si>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</si>
  <si>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</si>
  <si>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</si>
  <si>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</si>
  <si>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</si>
  <si>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</si>
  <si>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</si>
  <si>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</si>
  <si>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</si>
  <si>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</si>
  <si>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</si>
  <si>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</si>
  <si>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</si>
  <si>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</si>
  <si>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</si>
  <si>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</si>
  <si>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</si>
  <si>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</si>
  <si>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</si>
  <si>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</si>
  <si>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</si>
  <si>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</si>
  <si>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</si>
  <si>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</si>
  <si>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</si>
  <si>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</si>
  <si>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</si>
  <si>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</si>
  <si>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</si>
  <si>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</si>
  <si>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</si>
  <si>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</si>
  <si>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</si>
  <si>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</si>
  <si>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</si>
  <si>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</si>
  <si>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</si>
  <si>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</si>
  <si>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</si>
  <si>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</si>
  <si>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</si>
  <si>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</si>
  <si>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</si>
  <si>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</si>
  <si>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</si>
  <si>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</si>
  <si>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</si>
  <si>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</si>
  <si>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</si>
  <si>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</si>
  <si>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</si>
  <si>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</si>
  <si>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</si>
  <si>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</si>
  <si>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</si>
  <si>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</si>
  <si>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</si>
  <si>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</si>
  <si>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</si>
  <si>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</si>
  <si>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</si>
  <si>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</si>
  <si>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</si>
  <si>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</si>
  <si>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</si>
  <si>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</si>
  <si>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</si>
  <si>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</si>
  <si>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</si>
  <si>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</si>
  <si>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</si>
  <si>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</si>
  <si>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</si>
  <si>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</si>
  <si>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</si>
  <si>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</si>
  <si>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</si>
  <si>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</si>
  <si>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</si>
  <si>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</si>
  <si>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</si>
  <si>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</si>
  <si>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</si>
  <si>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</si>
  <si>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</si>
  <si>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</si>
  <si>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</si>
  <si>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</si>
  <si>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</si>
  <si>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</si>
  <si>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</si>
  <si>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</si>
  <si>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</si>
  <si>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</si>
  <si>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</si>
  <si>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</si>
  <si>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</si>
  <si>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</si>
  <si>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</si>
  <si>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</si>
  <si>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</si>
  <si>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</si>
  <si>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</si>
  <si>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</si>
  <si>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</si>
  <si>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</si>
  <si>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</si>
  <si>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</si>
  <si>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</si>
  <si>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</si>
  <si>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</si>
  <si>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</si>
  <si>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</si>
  <si>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</si>
  <si>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</si>
  <si>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</si>
  <si>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</si>
  <si>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</si>
  <si>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</si>
  <si>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</si>
  <si>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</si>
  <si>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</si>
  <si>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</si>
  <si>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</si>
  <si>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</si>
  <si>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</si>
  <si>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</si>
  <si>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</si>
  <si>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</si>
  <si>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</si>
  <si>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</si>
  <si>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</si>
  <si>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</si>
  <si>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</si>
  <si>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</si>
  <si>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</si>
  <si>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</si>
  <si>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</si>
  <si>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</si>
  <si>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</si>
  <si>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</si>
  <si>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</si>
  <si>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</si>
  <si>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</si>
  <si>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</si>
  <si>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</si>
  <si>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</si>
  <si>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</si>
  <si>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</si>
  <si>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</si>
  <si>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</si>
  <si>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</si>
  <si>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</si>
  <si>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</si>
  <si>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</si>
  <si>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</si>
  <si>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</si>
  <si>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</si>
  <si>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</si>
  <si>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</si>
  <si>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</si>
  <si>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</si>
  <si>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</si>
  <si>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</si>
  <si>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</si>
  <si>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</si>
  <si>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</si>
  <si>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</si>
  <si>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</si>
  <si>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</si>
  <si>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</si>
  <si>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</si>
  <si>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</si>
  <si>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</si>
  <si>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</si>
  <si>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</si>
  <si>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</si>
  <si>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</si>
  <si>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</si>
  <si>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</si>
  <si>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</si>
  <si>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</si>
  <si>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</si>
  <si>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</si>
  <si>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</si>
  <si>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</si>
  <si>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</si>
  <si>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</si>
  <si>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</si>
  <si>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</si>
  <si>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</si>
  <si>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</si>
  <si>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</si>
  <si>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</si>
  <si>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</si>
  <si>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</si>
  <si>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</si>
  <si>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</si>
  <si>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</si>
  <si>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</si>
  <si>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</si>
  <si>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</si>
  <si>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</si>
  <si>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</si>
  <si>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</si>
  <si>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</si>
  <si>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</si>
  <si>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</si>
  <si>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</si>
  <si>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</si>
  <si>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</si>
  <si>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</si>
  <si>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</si>
  <si>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</si>
  <si>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</si>
  <si>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</si>
  <si>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</si>
  <si>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</si>
  <si>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</si>
  <si>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</si>
  <si>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</si>
  <si>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</si>
  <si>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</si>
  <si>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</si>
  <si>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</si>
  <si>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</si>
  <si>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</si>
  <si>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</si>
  <si>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</si>
  <si>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</si>
  <si>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</si>
  <si>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</si>
  <si>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</si>
  <si>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</si>
  <si>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</si>
  <si>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</si>
  <si>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</si>
  <si>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</si>
  <si>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</si>
  <si>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</si>
  <si>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</si>
  <si>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</si>
  <si>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</si>
  <si>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</si>
  <si>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</si>
  <si>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</si>
  <si>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</si>
  <si>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</si>
  <si>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</si>
  <si>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</si>
  <si>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</si>
  <si>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</si>
  <si>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</si>
  <si>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</si>
  <si>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</si>
  <si>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</si>
  <si>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</si>
  <si>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</si>
  <si>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</si>
  <si>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</si>
  <si>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</si>
  <si>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</si>
  <si>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</si>
  <si>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</si>
  <si>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</si>
  <si>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</si>
  <si>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</si>
  <si>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</si>
  <si>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</si>
  <si>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</si>
  <si>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</si>
  <si>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</si>
  <si>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</si>
  <si>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</si>
  <si>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</si>
  <si>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</si>
  <si>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</si>
  <si>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</si>
  <si>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</si>
  <si>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</si>
  <si>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</si>
  <si>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</si>
  <si>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</si>
  <si>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</si>
  <si>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</si>
  <si>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</si>
  <si>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</si>
  <si>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</si>
  <si>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</si>
  <si>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</si>
  <si>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</si>
  <si>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</si>
  <si>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</si>
  <si>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</si>
  <si>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</si>
  <si>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</si>
  <si>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</si>
  <si>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</si>
  <si>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</si>
  <si>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</si>
  <si>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</si>
  <si>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</si>
  <si>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</si>
  <si>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</si>
  <si>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</si>
  <si>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</si>
  <si>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</si>
  <si>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</si>
  <si>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</si>
  <si>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</si>
  <si>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</si>
  <si>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</si>
  <si>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</si>
  <si>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</si>
  <si>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</si>
  <si>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</si>
  <si>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</si>
  <si>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</si>
  <si>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</si>
  <si>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</si>
  <si>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</si>
  <si>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</si>
  <si>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</si>
  <si>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</si>
  <si>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</si>
  <si>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</si>
  <si>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</si>
  <si>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</si>
  <si>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</si>
  <si>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</si>
  <si>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</si>
  <si>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</si>
  <si>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</si>
  <si>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</si>
  <si>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</si>
  <si>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</si>
  <si>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</si>
  <si>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</si>
  <si>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</si>
  <si>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</si>
  <si>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</si>
  <si>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</si>
  <si>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</si>
  <si>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</si>
  <si>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</si>
  <si>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</si>
  <si>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</si>
  <si>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</si>
  <si>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</si>
  <si>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</si>
  <si>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</si>
  <si>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</si>
  <si>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</si>
  <si>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</si>
  <si>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</si>
  <si>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</si>
  <si>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</si>
  <si>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</si>
  <si>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</si>
  <si>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</si>
  <si>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</si>
  <si>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</si>
  <si>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</si>
  <si>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</si>
  <si>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</si>
  <si>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</si>
  <si>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</si>
  <si>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</si>
  <si>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</si>
  <si>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</si>
  <si>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</si>
  <si>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</si>
  <si>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</si>
  <si>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</si>
  <si>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</si>
  <si>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</si>
  <si>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</si>
  <si>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</si>
  <si>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</si>
  <si>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</si>
  <si>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</si>
  <si>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</si>
  <si>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</si>
  <si>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</si>
  <si>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</si>
  <si>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</si>
  <si>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</si>
  <si>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</si>
  <si>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</si>
  <si>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</si>
  <si>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</si>
  <si>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</si>
  <si>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</si>
  <si>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</si>
  <si>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</si>
  <si>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</si>
  <si>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</si>
  <si>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</si>
  <si>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</si>
  <si>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</si>
  <si>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</si>
  <si>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</si>
  <si>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</si>
  <si>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</si>
  <si>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</si>
  <si>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</si>
  <si>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</si>
  <si>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</si>
  <si>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</si>
  <si>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</si>
  <si>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</si>
  <si>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</si>
  <si>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</si>
  <si>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</si>
  <si>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</si>
  <si>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</si>
  <si>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</si>
  <si>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</si>
  <si>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</si>
  <si>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</si>
  <si>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</si>
  <si>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</si>
  <si>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</si>
  <si>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</si>
  <si>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</si>
  <si>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</si>
  <si>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</si>
  <si>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</si>
  <si>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</si>
  <si>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</si>
  <si>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</si>
  <si>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</si>
  <si>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</si>
  <si>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</si>
  <si>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</si>
  <si>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</si>
  <si>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</si>
  <si>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</si>
  <si>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</si>
  <si>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</si>
  <si>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</si>
  <si>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</si>
  <si>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</si>
  <si>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</si>
  <si>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</si>
  <si>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</si>
  <si>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</si>
  <si>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</si>
  <si>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</si>
  <si>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</si>
  <si>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</si>
  <si>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</si>
  <si>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</si>
  <si>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</si>
  <si>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</si>
  <si>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</si>
  <si>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</si>
  <si>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</si>
  <si>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</si>
  <si>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</si>
  <si>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</si>
  <si>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</si>
  <si>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</si>
  <si>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</si>
  <si>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</si>
  <si>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</si>
  <si>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</si>
  <si>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</si>
  <si>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</si>
  <si>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</si>
  <si>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</si>
  <si>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</si>
  <si>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</si>
  <si>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</si>
  <si>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</si>
  <si>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</si>
  <si>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</si>
  <si>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</si>
  <si>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</si>
  <si>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</si>
  <si>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</si>
  <si>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</si>
  <si>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</si>
  <si>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</si>
  <si>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</si>
  <si>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</si>
  <si>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</si>
  <si>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</si>
  <si>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</si>
  <si>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</si>
  <si>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</si>
  <si>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</si>
  <si>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</si>
  <si>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</si>
  <si>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</si>
  <si>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</si>
  <si>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</si>
  <si>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</si>
  <si>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</si>
  <si>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</si>
  <si>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</si>
  <si>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</si>
  <si>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</si>
  <si>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</si>
  <si>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</si>
  <si>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</si>
  <si>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</si>
  <si>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</si>
  <si>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</si>
  <si>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</si>
  <si>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</si>
  <si>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</si>
  <si>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</si>
  <si>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</si>
  <si>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</si>
  <si>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</si>
  <si>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</si>
  <si>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</si>
  <si>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</si>
  <si>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</si>
  <si>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</si>
  <si>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</si>
  <si>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</si>
  <si>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</si>
  <si>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</si>
  <si>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</si>
  <si>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</si>
  <si>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</si>
  <si>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</si>
  <si>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</si>
  <si>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</si>
  <si>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</si>
  <si>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</si>
  <si>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</si>
  <si>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</si>
  <si>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</si>
  <si>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</si>
  <si>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</si>
  <si>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</si>
  <si>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</si>
  <si>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</si>
  <si>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</si>
  <si>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</si>
  <si>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</si>
  <si>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</si>
  <si>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</si>
  <si>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</si>
  <si>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</si>
  <si>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</si>
  <si>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</si>
  <si>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</si>
  <si>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</si>
  <si>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</si>
  <si>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</si>
  <si>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</si>
  <si>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</si>
  <si>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</si>
  <si>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</si>
  <si>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</si>
  <si>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</si>
  <si>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</si>
  <si>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</si>
  <si>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</si>
  <si>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</si>
  <si>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</si>
  <si>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</si>
  <si>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</si>
  <si>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</si>
  <si>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</si>
  <si>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</si>
  <si>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</si>
  <si>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</si>
  <si>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</si>
  <si>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</si>
  <si>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</si>
  <si>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</si>
  <si>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</si>
  <si>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</si>
  <si>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</si>
  <si>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</si>
  <si>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</si>
  <si>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</si>
  <si>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</si>
  <si>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</si>
  <si>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</si>
  <si>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</si>
  <si>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</si>
  <si>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</si>
  <si>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</si>
  <si>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</si>
  <si>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</si>
  <si>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</si>
  <si>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</si>
  <si>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</si>
  <si>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</si>
  <si>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</si>
  <si>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</si>
  <si>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</si>
  <si>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</si>
  <si>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</si>
  <si>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</si>
  <si>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</si>
  <si>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</si>
  <si>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</si>
  <si>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</si>
  <si>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</si>
  <si>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</si>
  <si>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</si>
  <si>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</si>
  <si>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</si>
  <si>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</si>
  <si>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</si>
  <si>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</si>
  <si>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</si>
  <si>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</si>
  <si>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</si>
  <si>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</si>
  <si>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</si>
  <si>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</si>
  <si>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</si>
  <si>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</si>
  <si>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</si>
  <si>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</si>
  <si>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</si>
  <si>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</si>
  <si>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</si>
  <si>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</si>
  <si>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</si>
  <si>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</si>
  <si>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</si>
  <si>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</si>
  <si>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</si>
  <si>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</si>
  <si>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</si>
  <si>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</si>
  <si>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</si>
  <si>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</si>
  <si>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</si>
  <si>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</si>
  <si>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</si>
  <si>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</si>
  <si>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</si>
  <si>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</si>
  <si>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</si>
  <si>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</si>
  <si>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</si>
  <si>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</si>
  <si>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</si>
  <si>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</si>
  <si>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</si>
  <si>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</si>
  <si>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</si>
  <si>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</si>
  <si>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</si>
  <si>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</si>
  <si>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</si>
  <si>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</si>
  <si>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</si>
  <si>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</si>
  <si>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</si>
  <si>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</si>
  <si>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</si>
  <si>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</si>
  <si>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</si>
  <si>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</si>
  <si>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</si>
  <si>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</si>
  <si>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</si>
  <si>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</si>
  <si>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</si>
  <si>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</si>
  <si>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</si>
  <si>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</si>
  <si>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</si>
  <si>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</si>
  <si>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</si>
  <si>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</si>
  <si>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</si>
  <si>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</si>
  <si>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</si>
  <si>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</si>
  <si>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</si>
  <si>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</si>
  <si>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</si>
  <si>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</si>
  <si>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</si>
  <si>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</si>
  <si>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</si>
  <si>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</si>
  <si>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</si>
  <si>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</si>
  <si>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</si>
  <si>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</si>
  <si>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</si>
  <si>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</si>
  <si>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</si>
  <si>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</si>
  <si>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</si>
  <si>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</si>
  <si>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</si>
  <si>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</si>
  <si>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</si>
  <si>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</si>
  <si>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</si>
  <si>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</si>
  <si>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</si>
  <si>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</si>
  <si>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</si>
  <si>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</si>
  <si>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</si>
  <si>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</si>
  <si>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</si>
  <si>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</si>
  <si>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</si>
  <si>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</si>
  <si>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</si>
  <si>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</si>
  <si>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</si>
  <si>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</si>
  <si>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</si>
  <si>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</si>
  <si>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</si>
  <si>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</si>
  <si>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</si>
  <si>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</si>
  <si>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</si>
  <si>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</si>
  <si>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</si>
  <si>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</si>
  <si>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</si>
  <si>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</si>
  <si>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</si>
  <si>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</si>
  <si>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</si>
  <si>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</si>
  <si>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</si>
  <si>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</si>
  <si>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</si>
  <si>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</si>
  <si>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</si>
  <si>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</si>
  <si>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</si>
  <si>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</si>
  <si>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</si>
  <si>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</si>
  <si>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</si>
  <si>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</si>
  <si>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</si>
  <si>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</si>
  <si>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</si>
  <si>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</si>
  <si>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</si>
  <si>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</si>
  <si>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</si>
  <si>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</si>
  <si>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</si>
  <si>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</si>
  <si>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</si>
  <si>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</si>
  <si>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</si>
  <si>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</si>
  <si>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</si>
  <si>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</si>
  <si>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</si>
  <si>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</si>
  <si>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</si>
  <si>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</si>
  <si>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</si>
  <si>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</si>
  <si>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</si>
  <si>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</si>
  <si>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</si>
  <si>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</si>
  <si>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</si>
  <si>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</si>
  <si>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</si>
  <si>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</si>
  <si>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</si>
  <si>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</si>
  <si>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</si>
  <si>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</si>
  <si>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</si>
  <si>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</si>
  <si>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</si>
  <si>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</si>
  <si>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</si>
  <si>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</si>
  <si>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</si>
  <si>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</si>
  <si>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</si>
  <si>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</si>
  <si>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</si>
  <si>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</si>
  <si>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</si>
  <si>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</si>
  <si>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</si>
  <si>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</si>
  <si>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</si>
  <si>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</si>
  <si>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</si>
  <si>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</si>
  <si>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</si>
  <si>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</si>
  <si>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</si>
  <si>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</si>
  <si>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</si>
  <si>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</si>
  <si>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</si>
  <si>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</si>
  <si>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</si>
  <si>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</si>
  <si>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</si>
  <si>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</si>
  <si>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</si>
  <si>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</si>
  <si>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</si>
  <si>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</si>
  <si>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</si>
  <si>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</si>
  <si>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</si>
  <si>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</si>
  <si>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</si>
  <si>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</si>
  <si>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</si>
  <si>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</si>
  <si>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</si>
  <si>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</si>
  <si>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</si>
  <si>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</si>
  <si>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</si>
  <si>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</si>
  <si>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</si>
  <si>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</si>
  <si>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</si>
  <si>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</si>
  <si>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</si>
  <si>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</si>
  <si>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</si>
  <si>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</si>
  <si>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</si>
  <si>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</si>
  <si>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</si>
  <si>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</si>
  <si>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</si>
  <si>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</si>
  <si>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</si>
  <si>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</si>
  <si>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</si>
  <si>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</si>
  <si>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</si>
  <si>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</si>
  <si>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</si>
  <si>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</si>
  <si>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</si>
  <si>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</si>
  <si>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</si>
  <si>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</si>
  <si>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</si>
  <si>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</si>
  <si>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</si>
  <si>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</si>
  <si>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</si>
  <si>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</si>
  <si>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</si>
  <si>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</si>
  <si>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</si>
  <si>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</si>
  <si>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</si>
  <si>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</si>
  <si>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</si>
  <si>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</si>
  <si>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</si>
  <si>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</si>
  <si>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</si>
  <si>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</si>
  <si>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</si>
  <si>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</si>
  <si>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</si>
  <si>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</si>
  <si>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</si>
  <si>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</si>
  <si>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</si>
  <si>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</si>
  <si>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</si>
  <si>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</si>
  <si>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</si>
  <si>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</si>
  <si>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</si>
  <si>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</si>
  <si>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</si>
  <si>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</si>
  <si>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</si>
  <si>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</si>
  <si>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</si>
  <si>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</si>
  <si>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</si>
  <si>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</si>
  <si>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</si>
  <si>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</si>
  <si>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</si>
  <si>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</si>
  <si>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</si>
  <si>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</si>
  <si>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</si>
  <si>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</si>
  <si>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</si>
  <si>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</si>
  <si>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</si>
  <si>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</si>
  <si>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</si>
  <si>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</si>
  <si>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</si>
  <si>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</si>
  <si>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</si>
  <si>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</si>
  <si>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</si>
  <si>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</si>
  <si>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</si>
  <si>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</si>
  <si>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</si>
  <si>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</si>
  <si>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</si>
  <si>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</si>
  <si>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</si>
  <si>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</si>
  <si>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</si>
  <si>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</si>
  <si>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</si>
  <si>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</si>
  <si>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</si>
  <si>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</si>
  <si>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</si>
  <si>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</si>
  <si>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</si>
  <si>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</si>
  <si>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</si>
  <si>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</si>
  <si>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</si>
  <si>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</si>
  <si>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</si>
  <si>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</si>
  <si>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</si>
  <si>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</si>
  <si>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</si>
  <si>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</si>
  <si>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</si>
  <si>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</si>
  <si>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</si>
  <si>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</si>
  <si>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</si>
  <si>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</si>
  <si>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</si>
  <si>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</si>
  <si>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</si>
  <si>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</si>
  <si>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</si>
  <si>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</si>
  <si>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</si>
  <si>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</si>
  <si>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</si>
  <si>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</si>
  <si>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</si>
  <si>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</si>
  <si>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</si>
  <si>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</si>
  <si>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</si>
  <si>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</si>
  <si>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</si>
  <si>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</si>
  <si>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</si>
  <si>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</si>
  <si>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</si>
  <si>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</si>
  <si>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</si>
  <si>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</si>
  <si>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</si>
  <si>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</si>
  <si>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</si>
  <si>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</si>
  <si>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</si>
  <si>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</si>
  <si>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</si>
  <si>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</si>
  <si>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</si>
  <si>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</si>
  <si>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</si>
  <si>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</si>
  <si>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</si>
  <si>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</si>
  <si>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</si>
  <si>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</si>
  <si>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</si>
  <si>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</si>
  <si>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</si>
  <si>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</si>
  <si>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</si>
  <si>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</si>
  <si>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</si>
  <si>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</si>
  <si>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</si>
  <si>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</si>
  <si>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</si>
  <si>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</si>
  <si>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</si>
  <si>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</si>
  <si>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</si>
  <si>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</si>
  <si>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</si>
  <si>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</si>
  <si>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</si>
  <si>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</si>
  <si>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</si>
  <si>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</si>
  <si>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</si>
  <si>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</si>
  <si>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</si>
  <si>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</si>
  <si>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</si>
  <si>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</si>
  <si>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</si>
  <si>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</si>
  <si>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</si>
  <si>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</si>
  <si>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</si>
  <si>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</si>
  <si>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</si>
  <si>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</si>
  <si>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</si>
  <si>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</si>
  <si>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</si>
  <si>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</si>
  <si>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</si>
  <si>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</si>
  <si>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</si>
  <si>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</si>
  <si>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</si>
  <si>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</si>
  <si>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</si>
  <si>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</si>
  <si>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</si>
  <si>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</si>
  <si>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</si>
  <si>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</si>
  <si>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</si>
  <si>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</si>
  <si>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</si>
  <si>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</si>
  <si>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</si>
  <si>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</si>
  <si>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</si>
  <si>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</si>
  <si>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</si>
  <si>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</si>
  <si>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</si>
  <si>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</si>
  <si>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</si>
  <si>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</si>
  <si>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</si>
  <si>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</si>
  <si>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</si>
  <si>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</si>
  <si>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</si>
  <si>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</si>
  <si>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</si>
  <si>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</si>
  <si>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</si>
  <si>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</si>
  <si>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</si>
  <si>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</si>
  <si>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</si>
  <si>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</si>
  <si>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</si>
  <si>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</si>
  <si>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</si>
  <si>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</si>
  <si>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</si>
  <si>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</si>
  <si>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</si>
  <si>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</si>
  <si>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</si>
  <si>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</si>
  <si>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</si>
  <si>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</si>
  <si>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</si>
  <si>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</si>
  <si>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</si>
  <si>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</si>
  <si>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</si>
  <si>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</si>
  <si>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</si>
  <si>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</si>
  <si>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</si>
  <si>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</si>
  <si>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</si>
  <si>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</si>
  <si>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</si>
  <si>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</si>
  <si>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</si>
  <si>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</si>
  <si>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</si>
  <si>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</si>
  <si>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</si>
  <si>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</si>
  <si>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</si>
  <si>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</si>
  <si>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</si>
  <si>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</si>
  <si>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</si>
  <si>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</si>
  <si>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</si>
  <si>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</si>
  <si>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</si>
  <si>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</si>
  <si>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</si>
  <si>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</si>
  <si>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</si>
  <si>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</si>
  <si>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</si>
  <si>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</si>
  <si>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</si>
  <si>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</si>
  <si>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</si>
  <si>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</si>
  <si>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</si>
  <si>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</si>
  <si>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</si>
  <si>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</si>
  <si>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</si>
  <si>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</si>
  <si>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</si>
  <si>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</si>
  <si>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</si>
  <si>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</si>
  <si>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</si>
  <si>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</si>
  <si>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</si>
  <si>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</si>
  <si>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</si>
  <si>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</si>
  <si>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</si>
  <si>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</si>
  <si>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</si>
  <si>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</si>
  <si>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</si>
  <si>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</si>
  <si>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</si>
  <si>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</si>
  <si>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</si>
  <si>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</si>
  <si>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</si>
  <si>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</si>
  <si>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</si>
  <si>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</si>
  <si>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</si>
  <si>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</si>
  <si>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</si>
  <si>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</si>
  <si>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</si>
  <si>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</si>
  <si>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</si>
  <si>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</si>
  <si>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</si>
  <si>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</si>
  <si>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</si>
  <si>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</si>
  <si>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</si>
  <si>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</si>
  <si>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</si>
  <si>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</si>
  <si>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</si>
  <si>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</si>
  <si>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</si>
  <si>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</si>
  <si>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</si>
  <si>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</si>
  <si>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</si>
  <si>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</si>
  <si>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</si>
  <si>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</si>
  <si>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</si>
  <si>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</si>
  <si>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</si>
  <si>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</si>
  <si>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</si>
  <si>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</si>
  <si>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</si>
  <si>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</si>
  <si>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</si>
  <si>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</si>
  <si>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</si>
  <si>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</si>
  <si>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</si>
  <si>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</si>
  <si>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</si>
  <si>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</si>
  <si>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</si>
  <si>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</si>
  <si>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</si>
  <si>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</si>
  <si>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</si>
  <si>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</si>
  <si>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</si>
  <si>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</si>
  <si>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</si>
  <si>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</si>
  <si>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</si>
  <si>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</si>
  <si>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</si>
  <si>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</si>
  <si>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</si>
  <si>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</si>
  <si>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</si>
  <si>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</si>
  <si>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</si>
  <si>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</si>
  <si>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</si>
  <si>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</si>
  <si>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</si>
  <si>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</si>
  <si>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</si>
  <si>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</si>
  <si>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</si>
  <si>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</si>
  <si>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</si>
  <si>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</si>
  <si>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</si>
  <si>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</si>
  <si>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</si>
  <si>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</si>
  <si>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</si>
  <si>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</si>
  <si>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</si>
  <si>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</si>
  <si>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</si>
  <si>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</si>
  <si>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</si>
  <si>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</si>
  <si>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</si>
  <si>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</si>
  <si>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</si>
  <si>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</si>
  <si>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</si>
  <si>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</si>
  <si>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</si>
  <si>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</si>
  <si>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</si>
  <si>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</si>
  <si>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</si>
  <si>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</si>
  <si>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</si>
  <si>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</si>
  <si>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</si>
  <si>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</si>
  <si>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</si>
  <si>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</si>
  <si>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</si>
  <si>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</si>
  <si>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</si>
  <si>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</si>
  <si>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</si>
  <si>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</si>
  <si>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</si>
  <si>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</si>
  <si>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</si>
  <si>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</si>
  <si>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</si>
  <si>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</si>
  <si>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</si>
  <si>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</si>
  <si>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</si>
  <si>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</si>
  <si>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</si>
  <si>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</si>
  <si>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</si>
  <si>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</si>
  <si>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</si>
  <si>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</si>
  <si>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</si>
  <si>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</si>
  <si>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</si>
  <si>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</si>
  <si>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</si>
  <si>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</si>
  <si>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</si>
  <si>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</si>
  <si>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</si>
  <si>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</si>
  <si>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</si>
  <si>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</si>
  <si>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</si>
  <si>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</si>
  <si>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</si>
  <si>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</si>
  <si>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</si>
  <si>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</si>
  <si>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</si>
  <si>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</si>
  <si>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</si>
  <si>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</si>
  <si>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</si>
  <si>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</si>
  <si>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</si>
  <si>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</si>
  <si>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</si>
  <si>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</si>
  <si>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</si>
  <si>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</si>
  <si>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</si>
  <si>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</si>
  <si>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</si>
  <si>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</si>
  <si>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</si>
  <si>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</si>
  <si>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</si>
  <si>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</si>
  <si>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</si>
  <si>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</si>
  <si>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</si>
  <si>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</si>
  <si>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</si>
  <si>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</si>
  <si>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</si>
  <si>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</si>
  <si>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71642681806</t>
  </si>
  <si>
    <t>04371593</t>
  </si>
  <si>
    <t>030157732</t>
  </si>
  <si>
    <t>VODOVOD ZAPADNE SLAVONIJE,d.o.o.za javnu vodoopskrbu i odvodnju</t>
  </si>
  <si>
    <t>NOVA GRADIŠKA</t>
  </si>
  <si>
    <t>IVANA GUNDULIĆA 15D</t>
  </si>
  <si>
    <t>info@vzs.hr</t>
  </si>
  <si>
    <t>035 251-056</t>
  </si>
  <si>
    <t>Ana Terzić</t>
  </si>
  <si>
    <t>ana.terzic@vzs.hr</t>
  </si>
  <si>
    <t>Rukavina Davor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</si>
</sst>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30986262.7</v>
      </c>
      <c r="I3" s="27">
        <f>ABS(ROUND(J3,0)-J3)+ABS(ROUND(K3,0)-K3)</f>
        <v>0</v>
      </c>
      <c r="J3" s="27">
        <f>Bilanca!I10</f>
        <v>496887951</v>
      </c>
      <c r="K3" s="27">
        <f>Bilanca!J10</f>
        <v>526212592</v>
      </c>
    </row>
    <row r="4" spans="1:11" ht="12.75">
      <c r="A4" s="4" t="s">
        <v>2697</v>
      </c>
      <c r="B4" s="25" t="s">
        <v>364</v>
      </c>
      <c r="D4" s="4" t="s">
        <v>554</v>
      </c>
      <c r="E4" s="4">
        <v>1</v>
      </c>
      <c r="F4" s="4">
        <f>Bilanca!G11</f>
        <v>3</v>
      </c>
      <c r="G4" s="4">
        <f>IF(Bilanca!H11=0,"",Bilanca!H11)</f>
      </c>
      <c r="H4" s="26">
        <f>J4/100*F4+2*K4/100*F4</f>
        <v>11208.029999999999</v>
      </c>
      <c r="I4" s="27">
        <f>ABS(ROUND(J4,0)-J4)+ABS(ROUND(K4,0)-K4)</f>
        <v>0</v>
      </c>
      <c r="J4" s="27">
        <f>Bilanca!I11</f>
        <v>123601</v>
      </c>
      <c r="K4" s="27">
        <f>Bilanca!J11</f>
        <v>125000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04371593</v>
      </c>
      <c r="D6" s="4" t="s">
        <v>554</v>
      </c>
      <c r="E6" s="4">
        <v>1</v>
      </c>
      <c r="F6" s="4">
        <f>Bilanca!G13</f>
        <v>5</v>
      </c>
      <c r="G6" s="4">
        <f>IF(Bilanca!H13=0,"",Bilanca!H13)</f>
      </c>
      <c r="H6" s="26">
        <f aca="true" t="shared" si="0" ref="H6:H45">J6/100*F6+2*K6/100*F6</f>
        <v>1379.4</v>
      </c>
      <c r="I6" s="27">
        <f aca="true" t="shared" si="1" ref="I6:I45">ABS(ROUND(J6,0)-J6)+ABS(ROUND(K6,0)-K6)</f>
        <v>0</v>
      </c>
      <c r="J6" s="27">
        <f>Bilanca!I13</f>
        <v>0</v>
      </c>
      <c r="K6" s="27">
        <f>Bilanca!J13</f>
        <v>13794</v>
      </c>
    </row>
    <row r="7" spans="1:11" ht="12.75">
      <c r="A7" s="4" t="s">
        <v>1561</v>
      </c>
      <c r="B7" s="25" t="str">
        <f>RefStr!M27</f>
        <v>030157732</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71642681806</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VODOVOD ZAPADNE SLAVONIJE,d.o.o.za javnu vodoopskrbu i odvodnju</v>
      </c>
      <c r="D9" s="4" t="s">
        <v>554</v>
      </c>
      <c r="E9" s="4">
        <v>1</v>
      </c>
      <c r="F9" s="4">
        <f>Bilanca!G16</f>
        <v>8</v>
      </c>
      <c r="G9" s="4">
        <f>IF(Bilanca!H16=0,"",Bilanca!H16)</f>
      </c>
      <c r="H9" s="26">
        <f t="shared" si="0"/>
        <v>26689.44</v>
      </c>
      <c r="I9" s="27">
        <f t="shared" si="1"/>
        <v>0</v>
      </c>
      <c r="J9" s="27">
        <f>Bilanca!I16</f>
        <v>111206</v>
      </c>
      <c r="K9" s="27">
        <f>Bilanca!J16</f>
        <v>111206</v>
      </c>
    </row>
    <row r="10" spans="1:11" ht="12.75">
      <c r="A10" s="4" t="s">
        <v>2736</v>
      </c>
      <c r="B10" s="25" t="str">
        <f>TEXT(RefStr!C31,"00000")</f>
        <v>35400</v>
      </c>
      <c r="D10" s="4" t="s">
        <v>554</v>
      </c>
      <c r="E10" s="4">
        <v>1</v>
      </c>
      <c r="F10" s="4">
        <f>Bilanca!G17</f>
        <v>9</v>
      </c>
      <c r="G10" s="4">
        <f>IF(Bilanca!H17=0,"",Bilanca!H17)</f>
      </c>
      <c r="H10" s="26">
        <f t="shared" si="0"/>
        <v>1115.55</v>
      </c>
      <c r="I10" s="27">
        <f t="shared" si="1"/>
        <v>0</v>
      </c>
      <c r="J10" s="27">
        <f>Bilanca!I17</f>
        <v>12395</v>
      </c>
      <c r="K10" s="27">
        <f>Bilanca!J17</f>
        <v>0</v>
      </c>
    </row>
    <row r="11" spans="1:11" ht="12.75">
      <c r="A11" s="4" t="s">
        <v>2737</v>
      </c>
      <c r="B11" s="25" t="str">
        <f>TRIM(RefStr!F31)</f>
        <v>NOVA GRADIŠKA</v>
      </c>
      <c r="D11" s="4" t="s">
        <v>554</v>
      </c>
      <c r="E11" s="4">
        <v>1</v>
      </c>
      <c r="F11" s="4">
        <f>Bilanca!G18</f>
        <v>10</v>
      </c>
      <c r="G11" s="4">
        <f>IF(Bilanca!H18=0,"",Bilanca!H18)</f>
      </c>
      <c r="H11" s="26">
        <f t="shared" si="0"/>
        <v>153678058.3</v>
      </c>
      <c r="I11" s="27">
        <f t="shared" si="1"/>
        <v>0</v>
      </c>
      <c r="J11" s="27">
        <f>Bilanca!I18</f>
        <v>489798513</v>
      </c>
      <c r="K11" s="27">
        <f>Bilanca!J18</f>
        <v>523491035</v>
      </c>
    </row>
    <row r="12" spans="1:11" ht="12.75">
      <c r="A12" s="4" t="s">
        <v>2738</v>
      </c>
      <c r="B12" s="25" t="str">
        <f>TRIM(RefStr!C33)</f>
        <v>IVANA GUNDULIĆA 15D</v>
      </c>
      <c r="D12" s="4" t="s">
        <v>554</v>
      </c>
      <c r="E12" s="4">
        <v>1</v>
      </c>
      <c r="F12" s="4">
        <f>Bilanca!G19</f>
        <v>11</v>
      </c>
      <c r="G12" s="4">
        <f>IF(Bilanca!H19=0,"",Bilanca!H19)</f>
      </c>
      <c r="H12" s="26">
        <f t="shared" si="0"/>
        <v>891089.1000000001</v>
      </c>
      <c r="I12" s="27">
        <f t="shared" si="1"/>
        <v>0</v>
      </c>
      <c r="J12" s="27">
        <f>Bilanca!I19</f>
        <v>2700270</v>
      </c>
      <c r="K12" s="27">
        <f>Bilanca!J19</f>
        <v>2700270</v>
      </c>
    </row>
    <row r="13" spans="1:11" ht="12.75">
      <c r="A13" s="4" t="s">
        <v>2884</v>
      </c>
      <c r="B13" s="25" t="str">
        <f>TRIM(RefStr!C35)</f>
        <v>info@vzs.hr</v>
      </c>
      <c r="D13" s="4" t="s">
        <v>554</v>
      </c>
      <c r="E13" s="4">
        <v>1</v>
      </c>
      <c r="F13" s="4">
        <f>Bilanca!G20</f>
        <v>12</v>
      </c>
      <c r="G13" s="4">
        <f>IF(Bilanca!H20=0,"",Bilanca!H20)</f>
      </c>
      <c r="H13" s="26">
        <f t="shared" si="0"/>
        <v>154158582</v>
      </c>
      <c r="I13" s="27">
        <f t="shared" si="1"/>
        <v>0</v>
      </c>
      <c r="J13" s="27">
        <f>Bilanca!I20</f>
        <v>414715966</v>
      </c>
      <c r="K13" s="27">
        <f>Bilanca!J20</f>
        <v>434969442</v>
      </c>
    </row>
    <row r="14" spans="1:11" ht="12.75">
      <c r="A14" s="4" t="s">
        <v>2885</v>
      </c>
      <c r="B14" s="25">
        <f>TRIM(RefStr!C37)</f>
      </c>
      <c r="D14" s="4" t="s">
        <v>554</v>
      </c>
      <c r="E14" s="4">
        <v>1</v>
      </c>
      <c r="F14" s="4">
        <f>Bilanca!G21</f>
        <v>13</v>
      </c>
      <c r="G14" s="4">
        <f>IF(Bilanca!H21=0,"",Bilanca!H21)</f>
      </c>
      <c r="H14" s="26">
        <f t="shared" si="0"/>
        <v>386252.49</v>
      </c>
      <c r="I14" s="27">
        <f t="shared" si="1"/>
        <v>0</v>
      </c>
      <c r="J14" s="27">
        <f>Bilanca!I21</f>
        <v>849693</v>
      </c>
      <c r="K14" s="27">
        <f>Bilanca!J21</f>
        <v>1060740</v>
      </c>
    </row>
    <row r="15" spans="1:11" ht="12.75">
      <c r="A15" s="4" t="s">
        <v>2741</v>
      </c>
      <c r="B15" s="25" t="str">
        <f>TEXT(RefStr!J39,"00")</f>
        <v>12</v>
      </c>
      <c r="D15" s="4" t="s">
        <v>554</v>
      </c>
      <c r="E15" s="4">
        <v>1</v>
      </c>
      <c r="F15" s="4">
        <f>Bilanca!G22</f>
        <v>14</v>
      </c>
      <c r="G15" s="4">
        <f>IF(Bilanca!H22=0,"",Bilanca!H22)</f>
      </c>
      <c r="H15" s="26">
        <f t="shared" si="0"/>
        <v>1432019.1199999999</v>
      </c>
      <c r="I15" s="27">
        <f t="shared" si="1"/>
        <v>0</v>
      </c>
      <c r="J15" s="27">
        <f>Bilanca!I22</f>
        <v>3707570</v>
      </c>
      <c r="K15" s="27">
        <f>Bilanca!J22</f>
        <v>3260569</v>
      </c>
    </row>
    <row r="16" spans="1:11" ht="12.75">
      <c r="A16" s="4" t="s">
        <v>2740</v>
      </c>
      <c r="B16" s="25" t="str">
        <f>TEXT(RefStr!C39,"000")</f>
        <v>284</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16000</v>
      </c>
      <c r="I17" s="27">
        <f t="shared" si="1"/>
        <v>0</v>
      </c>
      <c r="J17" s="27">
        <f>Bilanca!I24</f>
        <v>100000</v>
      </c>
      <c r="K17" s="27">
        <f>Bilanca!J24</f>
        <v>0</v>
      </c>
    </row>
    <row r="18" spans="1:11" ht="12.75">
      <c r="A18" s="4" t="s">
        <v>2886</v>
      </c>
      <c r="B18" s="25" t="str">
        <f>IF(RefStr!C21&lt;&gt;"",RefStr!C21,"")</f>
        <v>NE</v>
      </c>
      <c r="D18" s="4" t="s">
        <v>554</v>
      </c>
      <c r="E18" s="4">
        <v>1</v>
      </c>
      <c r="F18" s="4">
        <f>Bilanca!G25</f>
        <v>17</v>
      </c>
      <c r="G18" s="4">
        <f>IF(Bilanca!H25=0,"",Bilanca!H25)</f>
      </c>
      <c r="H18" s="26">
        <f t="shared" si="0"/>
        <v>39223257.14</v>
      </c>
      <c r="I18" s="27">
        <f t="shared" si="1"/>
        <v>0</v>
      </c>
      <c r="J18" s="27">
        <f>Bilanca!I25</f>
        <v>67725014</v>
      </c>
      <c r="K18" s="27">
        <f>Bilanca!J25</f>
        <v>81500014</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1573388.6</v>
      </c>
      <c r="I21" s="27">
        <f t="shared" si="1"/>
        <v>0</v>
      </c>
      <c r="J21" s="27">
        <f>Bilanca!I28</f>
        <v>4115591</v>
      </c>
      <c r="K21" s="27">
        <f>Bilanca!J28</f>
        <v>1875676</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68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72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66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71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2202744.04</v>
      </c>
      <c r="I29" s="27">
        <f t="shared" si="1"/>
        <v>0</v>
      </c>
      <c r="J29" s="27">
        <f>Bilanca!I36</f>
        <v>4115591</v>
      </c>
      <c r="K29" s="27">
        <f>Bilanca!J36</f>
        <v>1875676</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1330522.48</v>
      </c>
      <c r="I32" s="27">
        <f t="shared" si="1"/>
        <v>0</v>
      </c>
      <c r="J32" s="27">
        <f>Bilanca!I39</f>
        <v>2850246</v>
      </c>
      <c r="K32" s="27">
        <f>Bilanca!J39</f>
        <v>720881</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1502202.8</v>
      </c>
      <c r="I36" s="27">
        <f t="shared" si="1"/>
        <v>0</v>
      </c>
      <c r="J36" s="27">
        <f>Bilanca!I43</f>
        <v>2850246</v>
      </c>
      <c r="K36" s="27">
        <f>Bilanca!J43</f>
        <v>720881</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14874865.43</v>
      </c>
      <c r="I38" s="27">
        <f t="shared" si="1"/>
        <v>0</v>
      </c>
      <c r="J38" s="27">
        <f>Bilanca!I45</f>
        <v>11977097</v>
      </c>
      <c r="K38" s="27">
        <f>Bilanca!J45</f>
        <v>14112621</v>
      </c>
    </row>
    <row r="39" spans="1:11" ht="12.75">
      <c r="A39" s="4" t="s">
        <v>1611</v>
      </c>
      <c r="B39" s="25" t="str">
        <f>RefStr!C68</f>
        <v>Ana Terzić</v>
      </c>
      <c r="D39" s="4" t="s">
        <v>554</v>
      </c>
      <c r="E39" s="4">
        <v>1</v>
      </c>
      <c r="F39" s="4">
        <f>Bilanca!G46</f>
        <v>38</v>
      </c>
      <c r="G39" s="4">
        <f>IF(Bilanca!H46=0,"",Bilanca!H46)</f>
      </c>
      <c r="H39" s="26">
        <f t="shared" si="0"/>
        <v>885843.46</v>
      </c>
      <c r="I39" s="27">
        <f t="shared" si="1"/>
        <v>0</v>
      </c>
      <c r="J39" s="27">
        <f>Bilanca!I46</f>
        <v>985503</v>
      </c>
      <c r="K39" s="27">
        <f>Bilanca!J46</f>
        <v>672832</v>
      </c>
    </row>
    <row r="40" spans="1:11" ht="12.75">
      <c r="A40" s="4" t="s">
        <v>1612</v>
      </c>
      <c r="B40" s="25" t="str">
        <f>TRIM(RefStr!C70)</f>
        <v>035 251-056</v>
      </c>
      <c r="D40" s="4" t="s">
        <v>554</v>
      </c>
      <c r="E40" s="4">
        <v>1</v>
      </c>
      <c r="F40" s="4">
        <f>Bilanca!G47</f>
        <v>39</v>
      </c>
      <c r="G40" s="4">
        <f>IF(Bilanca!H47=0,"",Bilanca!H47)</f>
      </c>
      <c r="H40" s="26">
        <f t="shared" si="0"/>
        <v>909155.13</v>
      </c>
      <c r="I40" s="27">
        <f t="shared" si="1"/>
        <v>0</v>
      </c>
      <c r="J40" s="27">
        <f>Bilanca!I47</f>
        <v>985503</v>
      </c>
      <c r="K40" s="27">
        <f>Bilanca!J47</f>
        <v>672832</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ana.terzic@vzs.hr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Rukavina Davor</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16606472.42</v>
      </c>
      <c r="I47" s="27">
        <f t="shared" si="3"/>
        <v>0</v>
      </c>
      <c r="J47" s="27">
        <f>Bilanca!I54</f>
        <v>10892229</v>
      </c>
      <c r="K47" s="27">
        <f>Bilanca!J54</f>
        <v>12604399</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9124863.3</v>
      </c>
      <c r="I50" s="27">
        <f t="shared" si="3"/>
        <v>0</v>
      </c>
      <c r="J50" s="27">
        <f>Bilanca!I57</f>
        <v>6936212</v>
      </c>
      <c r="K50" s="27">
        <f>Bilanca!J57</f>
        <v>5842979</v>
      </c>
    </row>
    <row r="51" spans="1:11" ht="12.75">
      <c r="A51" s="4" t="s">
        <v>1035</v>
      </c>
      <c r="B51" s="25" t="str">
        <f>RefStr!I60</f>
        <v>NE</v>
      </c>
      <c r="D51" s="4" t="s">
        <v>554</v>
      </c>
      <c r="E51" s="4">
        <v>1</v>
      </c>
      <c r="F51" s="4">
        <f>Bilanca!G58</f>
        <v>50</v>
      </c>
      <c r="G51" s="4">
        <f>IF(Bilanca!H58=0,"",Bilanca!H58)</f>
      </c>
      <c r="H51" s="26">
        <f t="shared" si="2"/>
        <v>793117.5</v>
      </c>
      <c r="I51" s="27">
        <f t="shared" si="3"/>
        <v>0</v>
      </c>
      <c r="J51" s="27">
        <f>Bilanca!I58</f>
        <v>536987</v>
      </c>
      <c r="K51" s="27">
        <f>Bilanca!J58</f>
        <v>524624</v>
      </c>
    </row>
    <row r="52" spans="1:11" ht="12.75">
      <c r="A52" s="4" t="s">
        <v>1614</v>
      </c>
      <c r="B52" s="25" t="s">
        <v>1237</v>
      </c>
      <c r="D52" s="4" t="s">
        <v>554</v>
      </c>
      <c r="E52" s="4">
        <v>1</v>
      </c>
      <c r="F52" s="4">
        <f>Bilanca!G59</f>
        <v>51</v>
      </c>
      <c r="G52" s="4">
        <f>IF(Bilanca!H59=0,"",Bilanca!H59)</f>
      </c>
      <c r="H52" s="26">
        <f t="shared" si="2"/>
        <v>2629259.6100000003</v>
      </c>
      <c r="I52" s="27">
        <f t="shared" si="3"/>
        <v>0</v>
      </c>
      <c r="J52" s="27">
        <f>Bilanca!I59</f>
        <v>2510433</v>
      </c>
      <c r="K52" s="27">
        <f>Bilanca!J59</f>
        <v>1322489</v>
      </c>
    </row>
    <row r="53" spans="1:11" ht="12.75">
      <c r="A53" s="4" t="s">
        <v>1301</v>
      </c>
      <c r="B53" s="25" t="str">
        <f>RefStr!I56</f>
        <v>NE</v>
      </c>
      <c r="D53" s="4" t="s">
        <v>554</v>
      </c>
      <c r="E53" s="4">
        <v>1</v>
      </c>
      <c r="F53" s="4">
        <f>Bilanca!G60</f>
        <v>52</v>
      </c>
      <c r="G53" s="4">
        <f>IF(Bilanca!H60=0,"",Bilanca!H60)</f>
      </c>
      <c r="H53" s="26">
        <f t="shared" si="2"/>
        <v>5583349.720000001</v>
      </c>
      <c r="I53" s="27">
        <f t="shared" si="3"/>
        <v>0</v>
      </c>
      <c r="J53" s="27">
        <f>Bilanca!I60</f>
        <v>908597</v>
      </c>
      <c r="K53" s="27">
        <f>Bilanca!J60</f>
        <v>4914307</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7337441384.640001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1115191.3499999999</v>
      </c>
      <c r="I64" s="27">
        <f t="shared" si="3"/>
        <v>0</v>
      </c>
      <c r="J64" s="27">
        <f>Bilanca!I71</f>
        <v>99365</v>
      </c>
      <c r="K64" s="27">
        <f>Bilanca!J71</f>
        <v>835390</v>
      </c>
    </row>
    <row r="65" spans="1:11" ht="12.75">
      <c r="A65" s="4" t="s">
        <v>923</v>
      </c>
      <c r="B65" s="25" t="str">
        <f>TRIM(RefStr!N19)</f>
        <v>HSFI</v>
      </c>
      <c r="D65" s="4" t="s">
        <v>554</v>
      </c>
      <c r="E65" s="4">
        <v>1</v>
      </c>
      <c r="F65" s="4">
        <f>Bilanca!G72</f>
        <v>64</v>
      </c>
      <c r="G65" s="4">
        <f>IF(Bilanca!H72=0,"",Bilanca!H72)</f>
      </c>
      <c r="H65" s="26">
        <f t="shared" si="2"/>
        <v>3326.08</v>
      </c>
      <c r="I65" s="27">
        <f t="shared" si="3"/>
        <v>0</v>
      </c>
      <c r="J65" s="27">
        <f>Bilanca!I72</f>
        <v>1149</v>
      </c>
      <c r="K65" s="27">
        <f>Bilanca!J72</f>
        <v>2024</v>
      </c>
    </row>
    <row r="66" spans="1:11" ht="12.75">
      <c r="A66" s="4" t="s">
        <v>924</v>
      </c>
      <c r="B66" s="25">
        <f>RefStr!C23</f>
        <v>1</v>
      </c>
      <c r="D66" s="4" t="s">
        <v>554</v>
      </c>
      <c r="E66" s="4">
        <v>1</v>
      </c>
      <c r="F66" s="4">
        <f>Bilanca!G73</f>
        <v>65</v>
      </c>
      <c r="G66" s="4">
        <f>IF(Bilanca!H73=0,"",Bilanca!H73)</f>
      </c>
      <c r="H66" s="26">
        <f t="shared" si="2"/>
        <v>1033188436.1500001</v>
      </c>
      <c r="I66" s="27">
        <f t="shared" si="3"/>
        <v>0</v>
      </c>
      <c r="J66" s="27">
        <f>Bilanca!I73</f>
        <v>508866197</v>
      </c>
      <c r="K66" s="27">
        <f>Bilanca!J73</f>
        <v>540327237</v>
      </c>
    </row>
    <row r="67" spans="1:11" ht="12.75">
      <c r="A67" s="4" t="s">
        <v>925</v>
      </c>
      <c r="B67" s="25" t="str">
        <f>TRIM(RefStr!L35)</f>
        <v>035 251-056</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255812017.94</v>
      </c>
      <c r="I68" s="27">
        <f t="shared" si="3"/>
        <v>0</v>
      </c>
      <c r="J68" s="27">
        <f>Bilanca!I76</f>
        <v>126976086</v>
      </c>
      <c r="K68" s="27">
        <f>Bilanca!J76</f>
        <v>127416448</v>
      </c>
    </row>
    <row r="69" spans="1:11" ht="12.75">
      <c r="A69" s="4" t="s">
        <v>927</v>
      </c>
      <c r="B69" s="25">
        <f>TRIM(RefStr!M46)</f>
      </c>
      <c r="D69" s="4" t="s">
        <v>554</v>
      </c>
      <c r="E69" s="4">
        <v>1</v>
      </c>
      <c r="F69" s="4">
        <f>Bilanca!G77</f>
        <v>68</v>
      </c>
      <c r="G69" s="4">
        <f>IF(Bilanca!H77=0,"",Bilanca!H77)</f>
      </c>
      <c r="H69" s="26">
        <f t="shared" si="2"/>
        <v>264295668</v>
      </c>
      <c r="I69" s="27">
        <f t="shared" si="3"/>
        <v>0</v>
      </c>
      <c r="J69" s="27">
        <f>Bilanca!I77</f>
        <v>129556700</v>
      </c>
      <c r="K69" s="27">
        <f>Bilanca!J77</f>
        <v>129556700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70634.4</v>
      </c>
      <c r="I77" s="27">
        <f t="shared" si="3"/>
        <v>0</v>
      </c>
      <c r="J77" s="27">
        <f>Bilanca!I85</f>
        <v>30980</v>
      </c>
      <c r="K77" s="27">
        <f>Bilanca!J85</f>
        <v>30980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-6762185.96</v>
      </c>
      <c r="I84" s="27">
        <f t="shared" si="3"/>
        <v>0</v>
      </c>
      <c r="J84" s="27">
        <f>Bilanca!I92</f>
        <v>-2924026</v>
      </c>
      <c r="K84" s="27">
        <f>Bilanca!J92</f>
        <v>-2611593</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6925130.199999999</v>
      </c>
      <c r="I86" s="27">
        <f t="shared" si="3"/>
        <v>0</v>
      </c>
      <c r="J86" s="27">
        <f>Bilanca!I94</f>
        <v>2924026</v>
      </c>
      <c r="K86" s="27">
        <f>Bilanca!J94</f>
        <v>2611593</v>
      </c>
    </row>
    <row r="87" spans="4:11" ht="12.75">
      <c r="D87" s="4" t="s">
        <v>554</v>
      </c>
      <c r="E87" s="4">
        <v>1</v>
      </c>
      <c r="F87" s="4">
        <f>Bilanca!G95</f>
        <v>86</v>
      </c>
      <c r="G87" s="4">
        <f>IF(Bilanca!H95=0,"",Bilanca!H95)</f>
      </c>
      <c r="H87" s="26">
        <f>J87/100*F87+2*K87/100*F87</f>
        <v>1026112.44</v>
      </c>
      <c r="I87" s="27">
        <f>ABS(ROUND(J87,0)-J87)+ABS(ROUND(K87,0)-K87)</f>
        <v>0</v>
      </c>
      <c r="J87" s="27">
        <f>Bilanca!I95</f>
        <v>312432</v>
      </c>
      <c r="K87" s="27">
        <f>Bilanca!J95</f>
        <v>440361</v>
      </c>
    </row>
    <row r="88" spans="4:11" ht="12.75">
      <c r="D88" s="4" t="s">
        <v>554</v>
      </c>
      <c r="E88" s="4">
        <v>1</v>
      </c>
      <c r="F88" s="4">
        <f>Bilanca!G96</f>
        <v>87</v>
      </c>
      <c r="G88" s="4">
        <f>IF(Bilanca!H96=0,"",Bilanca!H96)</f>
      </c>
      <c r="H88" s="26">
        <f>J88/100*F88+2*K88/100*F88</f>
        <v>1038043.98</v>
      </c>
      <c r="I88" s="27">
        <f>ABS(ROUND(J88,0)-J88)+ABS(ROUND(K88,0)-K88)</f>
        <v>0</v>
      </c>
      <c r="J88" s="27">
        <f>Bilanca!I96</f>
        <v>312432</v>
      </c>
      <c r="K88" s="27">
        <f>Bilanca!J96</f>
        <v>440361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881987.3999999999</v>
      </c>
      <c r="I91" s="27">
        <f t="shared" si="5"/>
        <v>0</v>
      </c>
      <c r="J91" s="27">
        <f>Bilanca!I99</f>
        <v>326662</v>
      </c>
      <c r="K91" s="27">
        <f>Bilanca!J99</f>
        <v>326662</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911386.98</v>
      </c>
      <c r="I94" s="27">
        <f t="shared" si="5"/>
        <v>0</v>
      </c>
      <c r="J94" s="27">
        <f>Bilanca!I102</f>
        <v>326662</v>
      </c>
      <c r="K94" s="27">
        <f>Bilanca!J102</f>
        <v>326662</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24496316.950000003</v>
      </c>
      <c r="I98" s="27">
        <f t="shared" si="5"/>
        <v>0</v>
      </c>
      <c r="J98" s="27">
        <f>Bilanca!I106</f>
        <v>13369229</v>
      </c>
      <c r="K98" s="27">
        <f>Bilanca!J106</f>
        <v>5942353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4197902.82</v>
      </c>
      <c r="I103" s="27">
        <f t="shared" si="5"/>
        <v>0</v>
      </c>
      <c r="J103" s="27">
        <f>Bilanca!I111</f>
        <v>4115591</v>
      </c>
      <c r="K103" s="27">
        <f>Bilanca!J111</f>
        <v>0</v>
      </c>
    </row>
    <row r="104" spans="4:11" ht="12.75">
      <c r="D104" s="4" t="s">
        <v>554</v>
      </c>
      <c r="E104" s="4">
        <v>1</v>
      </c>
      <c r="F104" s="4">
        <f>Bilanca!G112</f>
        <v>103</v>
      </c>
      <c r="G104" s="4">
        <f>IF(Bilanca!H112=0,"",Bilanca!H112)</f>
      </c>
      <c r="H104" s="26">
        <f t="shared" si="4"/>
        <v>17302572.42</v>
      </c>
      <c r="I104" s="27">
        <f t="shared" si="5"/>
        <v>0</v>
      </c>
      <c r="J104" s="27">
        <f>Bilanca!I112</f>
        <v>6355670</v>
      </c>
      <c r="K104" s="27">
        <f>Bilanca!J112</f>
        <v>5221472</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4643511.100000001</v>
      </c>
      <c r="I108" s="27">
        <f t="shared" si="5"/>
        <v>0</v>
      </c>
      <c r="J108" s="27">
        <f>Bilanca!I116</f>
        <v>2897968</v>
      </c>
      <c r="K108" s="27">
        <f>Bilanca!J116</f>
        <v>720881</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48678145.410000004</v>
      </c>
      <c r="I110" s="27">
        <f t="shared" si="5"/>
        <v>0</v>
      </c>
      <c r="J110" s="27">
        <f>Bilanca!I118</f>
        <v>11440957</v>
      </c>
      <c r="K110" s="27">
        <f>Bilanca!J118</f>
        <v>16608946</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8466673.75</v>
      </c>
      <c r="I116" s="27">
        <f t="shared" si="5"/>
        <v>0</v>
      </c>
      <c r="J116" s="27">
        <f>Bilanca!I124</f>
        <v>3178167</v>
      </c>
      <c r="K116" s="27">
        <f>Bilanca!J124</f>
        <v>2092079</v>
      </c>
    </row>
    <row r="117" spans="4:11" ht="12.75">
      <c r="D117" s="4" t="s">
        <v>554</v>
      </c>
      <c r="E117" s="4">
        <v>1</v>
      </c>
      <c r="F117" s="4">
        <f>Bilanca!G125</f>
        <v>116</v>
      </c>
      <c r="G117" s="4">
        <f>IF(Bilanca!H125=0,"",Bilanca!H125)</f>
      </c>
      <c r="H117" s="26">
        <f t="shared" si="4"/>
        <v>4395507.96</v>
      </c>
      <c r="I117" s="27">
        <f t="shared" si="5"/>
        <v>0</v>
      </c>
      <c r="J117" s="27">
        <f>Bilanca!I125</f>
        <v>31269</v>
      </c>
      <c r="K117" s="27">
        <f>Bilanca!J125</f>
        <v>1878981</v>
      </c>
    </row>
    <row r="118" spans="4:11" ht="12.75">
      <c r="D118" s="4" t="s">
        <v>554</v>
      </c>
      <c r="E118" s="4">
        <v>1</v>
      </c>
      <c r="F118" s="4">
        <f>Bilanca!G126</f>
        <v>117</v>
      </c>
      <c r="G118" s="4">
        <f>IF(Bilanca!H126=0,"",Bilanca!H126)</f>
      </c>
      <c r="H118" s="26">
        <f t="shared" si="4"/>
        <v>30275576.370000005</v>
      </c>
      <c r="I118" s="27">
        <f t="shared" si="5"/>
        <v>0</v>
      </c>
      <c r="J118" s="27">
        <f>Bilanca!I126</f>
        <v>6221091</v>
      </c>
      <c r="K118" s="27">
        <f>Bilanca!J126</f>
        <v>9827735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1900904.81</v>
      </c>
      <c r="I120" s="27">
        <f t="shared" si="5"/>
        <v>0</v>
      </c>
      <c r="J120" s="27">
        <f>Bilanca!I128</f>
        <v>482653</v>
      </c>
      <c r="K120" s="27">
        <f>Bilanca!J128</f>
        <v>557373</v>
      </c>
    </row>
    <row r="121" spans="4:11" ht="12.75">
      <c r="D121" s="4" t="s">
        <v>554</v>
      </c>
      <c r="E121" s="4">
        <v>1</v>
      </c>
      <c r="F121" s="4">
        <f>Bilanca!G129</f>
        <v>120</v>
      </c>
      <c r="G121" s="4">
        <f>IF(Bilanca!H129=0,"",Bilanca!H129)</f>
      </c>
      <c r="H121" s="26">
        <f t="shared" si="4"/>
        <v>1225110</v>
      </c>
      <c r="I121" s="27">
        <f t="shared" si="5"/>
        <v>0</v>
      </c>
      <c r="J121" s="27">
        <f>Bilanca!I129</f>
        <v>350839</v>
      </c>
      <c r="K121" s="27">
        <f>Bilanca!J129</f>
        <v>335043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6165261.84</v>
      </c>
      <c r="I124" s="27">
        <f t="shared" si="5"/>
        <v>0</v>
      </c>
      <c r="J124" s="27">
        <f>Bilanca!I132</f>
        <v>1176938</v>
      </c>
      <c r="K124" s="27">
        <f>Bilanca!J132</f>
        <v>1917735</v>
      </c>
    </row>
    <row r="125" spans="4:11" ht="12.75">
      <c r="D125" s="4" t="s">
        <v>554</v>
      </c>
      <c r="E125" s="4">
        <v>1</v>
      </c>
      <c r="F125" s="4">
        <f>Bilanca!G133</f>
        <v>124</v>
      </c>
      <c r="G125" s="4">
        <f>IF(Bilanca!H133=0,"",Bilanca!H133)</f>
      </c>
      <c r="H125" s="26">
        <f t="shared" si="4"/>
        <v>1409655459.56</v>
      </c>
      <c r="I125" s="27">
        <f t="shared" si="5"/>
        <v>0</v>
      </c>
      <c r="J125" s="27">
        <f>Bilanca!I133</f>
        <v>356753263</v>
      </c>
      <c r="K125" s="27">
        <f>Bilanca!J133</f>
        <v>390032828</v>
      </c>
    </row>
    <row r="126" spans="4:11" ht="12.75">
      <c r="D126" s="4" t="s">
        <v>554</v>
      </c>
      <c r="E126" s="4">
        <v>1</v>
      </c>
      <c r="F126" s="4">
        <f>Bilanca!G134</f>
        <v>125</v>
      </c>
      <c r="G126" s="4">
        <f>IF(Bilanca!H134=0,"",Bilanca!H134)</f>
      </c>
      <c r="H126" s="26">
        <f t="shared" si="4"/>
        <v>1986900838.75</v>
      </c>
      <c r="I126" s="27">
        <f t="shared" si="5"/>
        <v>0</v>
      </c>
      <c r="J126" s="27">
        <f>Bilanca!I134</f>
        <v>508866197</v>
      </c>
      <c r="K126" s="27">
        <f>Bilanca!J134</f>
        <v>540327237</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103011592.30000001</v>
      </c>
      <c r="I128" s="4">
        <f t="shared" si="5"/>
        <v>0</v>
      </c>
      <c r="J128" s="27">
        <f>RDG!I8</f>
        <v>20791634</v>
      </c>
      <c r="K128" s="27">
        <f>RDG!J8</f>
        <v>30159928</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66695383.919999994</v>
      </c>
      <c r="I130" s="4">
        <f aca="true" t="shared" si="7" ref="I130:I192">ABS(ROUND(J130,0)-J130)+ABS(ROUND(K130,0)-K130)</f>
        <v>0</v>
      </c>
      <c r="J130" s="27">
        <f>RDG!I10</f>
        <v>14731182</v>
      </c>
      <c r="K130" s="27">
        <f>RDG!J10</f>
        <v>18485333</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38820727.44</v>
      </c>
      <c r="I133" s="4">
        <f t="shared" si="7"/>
        <v>0</v>
      </c>
      <c r="J133" s="27">
        <f>RDG!I13</f>
        <v>6060452</v>
      </c>
      <c r="K133" s="27">
        <f>RDG!J13</f>
        <v>11674595</v>
      </c>
    </row>
    <row r="134" spans="4:11" ht="12.75">
      <c r="D134" s="4" t="s">
        <v>794</v>
      </c>
      <c r="E134" s="4">
        <v>2</v>
      </c>
      <c r="F134" s="4">
        <f>RDG!G14</f>
        <v>133</v>
      </c>
      <c r="G134" s="4">
        <f>IF(RDG!H14=0,"",RDG!H14)</f>
      </c>
      <c r="H134" s="26">
        <f t="shared" si="6"/>
        <v>106033749.92</v>
      </c>
      <c r="I134" s="4">
        <f t="shared" si="7"/>
        <v>0</v>
      </c>
      <c r="J134" s="27">
        <f>RDG!I14</f>
        <v>20311318</v>
      </c>
      <c r="K134" s="27">
        <f>RDG!J14</f>
        <v>29706653</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22795631.55</v>
      </c>
      <c r="I136" s="4">
        <f t="shared" si="7"/>
        <v>0</v>
      </c>
      <c r="J136" s="27">
        <f>RDG!I16</f>
        <v>4699633</v>
      </c>
      <c r="K136" s="27">
        <f>RDG!J16</f>
        <v>6093010</v>
      </c>
    </row>
    <row r="137" spans="4:11" ht="12.75">
      <c r="D137" s="4" t="s">
        <v>794</v>
      </c>
      <c r="E137" s="4">
        <v>2</v>
      </c>
      <c r="F137" s="4">
        <f>RDG!G17</f>
        <v>136</v>
      </c>
      <c r="G137" s="4">
        <f>IF(RDG!H17=0,"",RDG!H17)</f>
      </c>
      <c r="H137" s="26">
        <f t="shared" si="6"/>
        <v>13175727.6</v>
      </c>
      <c r="I137" s="4">
        <f t="shared" si="7"/>
        <v>0</v>
      </c>
      <c r="J137" s="27">
        <f>RDG!I17</f>
        <v>2834419</v>
      </c>
      <c r="K137" s="27">
        <f>RDG!J17</f>
        <v>3426808</v>
      </c>
    </row>
    <row r="138" spans="4:11" ht="12.75">
      <c r="D138" s="4" t="s">
        <v>794</v>
      </c>
      <c r="E138" s="4">
        <v>2</v>
      </c>
      <c r="F138" s="4">
        <f>RDG!G18</f>
        <v>137</v>
      </c>
      <c r="G138" s="4">
        <f>IF(RDG!H18=0,"",RDG!H18)</f>
      </c>
      <c r="H138" s="26">
        <f t="shared" si="6"/>
        <v>727719.34</v>
      </c>
      <c r="I138" s="4">
        <f t="shared" si="7"/>
        <v>0</v>
      </c>
      <c r="J138" s="27">
        <f>RDG!I18</f>
        <v>0</v>
      </c>
      <c r="K138" s="27">
        <f>RDG!J18</f>
        <v>265591</v>
      </c>
    </row>
    <row r="139" spans="4:11" ht="12.75">
      <c r="D139" s="4" t="s">
        <v>794</v>
      </c>
      <c r="E139" s="4">
        <v>2</v>
      </c>
      <c r="F139" s="4">
        <f>RDG!G19</f>
        <v>138</v>
      </c>
      <c r="G139" s="4">
        <f>IF(RDG!H19=0,"",RDG!H19)</f>
      </c>
      <c r="H139" s="26">
        <f t="shared" si="6"/>
        <v>9199681.68</v>
      </c>
      <c r="I139" s="4">
        <f t="shared" si="7"/>
        <v>0</v>
      </c>
      <c r="J139" s="27">
        <f>RDG!I19</f>
        <v>1865214</v>
      </c>
      <c r="K139" s="27">
        <f>RDG!J19</f>
        <v>2400611</v>
      </c>
    </row>
    <row r="140" spans="4:11" ht="12.75">
      <c r="D140" s="4" t="s">
        <v>794</v>
      </c>
      <c r="E140" s="4">
        <v>2</v>
      </c>
      <c r="F140" s="4">
        <f>RDG!G20</f>
        <v>139</v>
      </c>
      <c r="G140" s="4">
        <f>IF(RDG!H20=0,"",RDG!H20)</f>
      </c>
      <c r="H140" s="26">
        <f t="shared" si="6"/>
        <v>35797173.18</v>
      </c>
      <c r="I140" s="4">
        <f t="shared" si="7"/>
        <v>0</v>
      </c>
      <c r="J140" s="27">
        <f>RDG!I20</f>
        <v>8108398</v>
      </c>
      <c r="K140" s="27">
        <f>RDG!J20</f>
        <v>8822482</v>
      </c>
    </row>
    <row r="141" spans="4:11" ht="12.75">
      <c r="D141" s="4" t="s">
        <v>794</v>
      </c>
      <c r="E141" s="4">
        <v>2</v>
      </c>
      <c r="F141" s="4">
        <f>RDG!G21</f>
        <v>140</v>
      </c>
      <c r="G141" s="4">
        <f>IF(RDG!H21=0,"",RDG!H21)</f>
      </c>
      <c r="H141" s="26">
        <f t="shared" si="6"/>
        <v>23108570.8</v>
      </c>
      <c r="I141" s="4">
        <f t="shared" si="7"/>
        <v>0</v>
      </c>
      <c r="J141" s="27">
        <f>RDG!I21</f>
        <v>5149176</v>
      </c>
      <c r="K141" s="27">
        <f>RDG!J21</f>
        <v>5678473</v>
      </c>
    </row>
    <row r="142" spans="4:11" ht="12.75">
      <c r="D142" s="4" t="s">
        <v>794</v>
      </c>
      <c r="E142" s="4">
        <v>2</v>
      </c>
      <c r="F142" s="4">
        <f>RDG!G22</f>
        <v>141</v>
      </c>
      <c r="G142" s="4">
        <f>IF(RDG!H22=0,"",RDG!H22)</f>
      </c>
      <c r="H142" s="26">
        <f t="shared" si="6"/>
        <v>8287472.4</v>
      </c>
      <c r="I142" s="4">
        <f t="shared" si="7"/>
        <v>0</v>
      </c>
      <c r="J142" s="27">
        <f>RDG!I22</f>
        <v>1890890</v>
      </c>
      <c r="K142" s="27">
        <f>RDG!J22</f>
        <v>1993375</v>
      </c>
    </row>
    <row r="143" spans="4:11" ht="12.75">
      <c r="D143" s="4" t="s">
        <v>794</v>
      </c>
      <c r="E143" s="4">
        <v>2</v>
      </c>
      <c r="F143" s="4">
        <f>RDG!G23</f>
        <v>142</v>
      </c>
      <c r="G143" s="4">
        <f>IF(RDG!H23=0,"",RDG!H23)</f>
      </c>
      <c r="H143" s="26">
        <f t="shared" si="6"/>
        <v>4784832</v>
      </c>
      <c r="I143" s="4">
        <f t="shared" si="7"/>
        <v>0</v>
      </c>
      <c r="J143" s="27">
        <f>RDG!I23</f>
        <v>1068332</v>
      </c>
      <c r="K143" s="27">
        <f>RDG!J23</f>
        <v>1150634</v>
      </c>
    </row>
    <row r="144" spans="4:11" ht="12.75">
      <c r="D144" s="4" t="s">
        <v>794</v>
      </c>
      <c r="E144" s="4">
        <v>2</v>
      </c>
      <c r="F144" s="4">
        <f>RDG!G24</f>
        <v>143</v>
      </c>
      <c r="G144" s="4">
        <f>IF(RDG!H24=0,"",RDG!H24)</f>
      </c>
      <c r="H144" s="26">
        <f t="shared" si="6"/>
        <v>42181219.080000006</v>
      </c>
      <c r="I144" s="4">
        <f t="shared" si="7"/>
        <v>0</v>
      </c>
      <c r="J144" s="27">
        <f>RDG!I24</f>
        <v>5937292</v>
      </c>
      <c r="K144" s="27">
        <f>RDG!J24</f>
        <v>11780032</v>
      </c>
    </row>
    <row r="145" spans="4:11" ht="12.75">
      <c r="D145" s="4" t="s">
        <v>794</v>
      </c>
      <c r="E145" s="4">
        <v>2</v>
      </c>
      <c r="F145" s="4">
        <f>RDG!G25</f>
        <v>144</v>
      </c>
      <c r="G145" s="4">
        <f>IF(RDG!H25=0,"",RDG!H25)</f>
      </c>
      <c r="H145" s="26">
        <f t="shared" si="6"/>
        <v>5288706.72</v>
      </c>
      <c r="I145" s="4">
        <f t="shared" si="7"/>
        <v>0</v>
      </c>
      <c r="J145" s="27">
        <f>RDG!I25</f>
        <v>1077251</v>
      </c>
      <c r="K145" s="27">
        <f>RDG!J25</f>
        <v>1297731</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6069087</v>
      </c>
      <c r="I156" s="4">
        <f t="shared" si="7"/>
        <v>0</v>
      </c>
      <c r="J156" s="27">
        <f>RDG!I36</f>
        <v>488744</v>
      </c>
      <c r="K156" s="27">
        <f>RDG!J36</f>
        <v>1713398</v>
      </c>
    </row>
    <row r="157" spans="4:11" ht="12.75">
      <c r="D157" s="4" t="s">
        <v>794</v>
      </c>
      <c r="E157" s="4">
        <v>2</v>
      </c>
      <c r="F157" s="4">
        <f>RDG!G37</f>
        <v>156</v>
      </c>
      <c r="G157" s="4">
        <f>IF(RDG!H37=0,"",RDG!H37)</f>
      </c>
      <c r="H157" s="26">
        <f t="shared" si="6"/>
        <v>631517.64</v>
      </c>
      <c r="I157" s="4">
        <f t="shared" si="7"/>
        <v>0</v>
      </c>
      <c r="J157" s="27">
        <f>RDG!I37</f>
        <v>130473</v>
      </c>
      <c r="K157" s="27">
        <f>RDG!J37</f>
        <v>137173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659755.54</v>
      </c>
      <c r="I164" s="4">
        <f t="shared" si="7"/>
        <v>0</v>
      </c>
      <c r="J164" s="27">
        <f>RDG!I44</f>
        <v>130452</v>
      </c>
      <c r="K164" s="27">
        <f>RDG!J44</f>
        <v>137153</v>
      </c>
    </row>
    <row r="165" spans="4:11" ht="12.75">
      <c r="D165" s="4" t="s">
        <v>794</v>
      </c>
      <c r="E165" s="4">
        <v>2</v>
      </c>
      <c r="F165" s="4">
        <f>RDG!G45</f>
        <v>164</v>
      </c>
      <c r="G165" s="4">
        <f>IF(RDG!H45=0,"",RDG!H45)</f>
      </c>
      <c r="H165" s="26">
        <f t="shared" si="6"/>
        <v>100.04</v>
      </c>
      <c r="I165" s="4">
        <f t="shared" si="7"/>
        <v>0</v>
      </c>
      <c r="J165" s="27">
        <f>RDG!I45</f>
        <v>21</v>
      </c>
      <c r="K165" s="27">
        <f>RDG!J45</f>
        <v>20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999546.77</v>
      </c>
      <c r="I168" s="4">
        <f t="shared" si="7"/>
        <v>0</v>
      </c>
      <c r="J168" s="27">
        <f>RDG!I48</f>
        <v>298357</v>
      </c>
      <c r="K168" s="27">
        <f>RDG!J48</f>
        <v>150087</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1015486.5</v>
      </c>
      <c r="I171" s="4">
        <f t="shared" si="7"/>
        <v>0</v>
      </c>
      <c r="J171" s="27">
        <f>RDG!I51</f>
        <v>297341</v>
      </c>
      <c r="K171" s="27">
        <f>RDG!J51</f>
        <v>150002</v>
      </c>
    </row>
    <row r="172" spans="4:11" ht="12.75">
      <c r="D172" s="4" t="s">
        <v>794</v>
      </c>
      <c r="E172" s="4">
        <v>2</v>
      </c>
      <c r="F172" s="4">
        <f>RDG!G52</f>
        <v>171</v>
      </c>
      <c r="G172" s="4">
        <f>IF(RDG!H52=0,"",RDG!H52)</f>
      </c>
      <c r="H172" s="26">
        <f t="shared" si="6"/>
        <v>2028.0600000000002</v>
      </c>
      <c r="I172" s="4">
        <f t="shared" si="7"/>
        <v>0</v>
      </c>
      <c r="J172" s="27">
        <f>RDG!I52</f>
        <v>1016</v>
      </c>
      <c r="K172" s="27">
        <f>RDG!J52</f>
        <v>85</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145914193.11</v>
      </c>
      <c r="I180" s="4">
        <f t="shared" si="7"/>
        <v>0</v>
      </c>
      <c r="J180" s="27">
        <f>RDG!I60</f>
        <v>20922107</v>
      </c>
      <c r="K180" s="27">
        <f>RDG!J60</f>
        <v>30297101</v>
      </c>
    </row>
    <row r="181" spans="4:11" ht="12.75">
      <c r="D181" s="4" t="s">
        <v>794</v>
      </c>
      <c r="E181" s="4">
        <v>2</v>
      </c>
      <c r="F181" s="4">
        <f>RDG!G61</f>
        <v>180</v>
      </c>
      <c r="G181" s="4">
        <f>IF(RDG!H61=0,"",RDG!H61)</f>
      </c>
      <c r="H181" s="26">
        <f t="shared" si="6"/>
        <v>144581679</v>
      </c>
      <c r="I181" s="4">
        <f t="shared" si="7"/>
        <v>0</v>
      </c>
      <c r="J181" s="27">
        <f>RDG!I61</f>
        <v>20609675</v>
      </c>
      <c r="K181" s="27">
        <f>RDG!J61</f>
        <v>29856740</v>
      </c>
    </row>
    <row r="182" spans="4:11" ht="12.75">
      <c r="D182" s="4" t="s">
        <v>794</v>
      </c>
      <c r="E182" s="4">
        <v>2</v>
      </c>
      <c r="F182" s="4">
        <f>RDG!G62</f>
        <v>181</v>
      </c>
      <c r="G182" s="4">
        <f>IF(RDG!H62=0,"",RDG!H62)</f>
      </c>
      <c r="H182" s="26">
        <f t="shared" si="6"/>
        <v>2159608.7399999998</v>
      </c>
      <c r="I182" s="4">
        <f t="shared" si="7"/>
        <v>0</v>
      </c>
      <c r="J182" s="27">
        <f>RDG!I62</f>
        <v>312432</v>
      </c>
      <c r="K182" s="27">
        <f>RDG!J62</f>
        <v>440361</v>
      </c>
    </row>
    <row r="183" spans="4:11" ht="12.75">
      <c r="D183" s="4" t="s">
        <v>794</v>
      </c>
      <c r="E183" s="4">
        <v>2</v>
      </c>
      <c r="F183" s="4">
        <f>RDG!G63</f>
        <v>182</v>
      </c>
      <c r="G183" s="4">
        <f>IF(RDG!H63=0,"",RDG!H63)</f>
      </c>
      <c r="H183" s="26">
        <f t="shared" si="6"/>
        <v>2171540.28</v>
      </c>
      <c r="I183" s="4">
        <f t="shared" si="7"/>
        <v>0</v>
      </c>
      <c r="J183" s="27">
        <f>RDG!I63</f>
        <v>312432</v>
      </c>
      <c r="K183" s="27">
        <f>RDG!J63</f>
        <v>440361</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2207334.9</v>
      </c>
      <c r="I186" s="4">
        <f t="shared" si="7"/>
        <v>0</v>
      </c>
      <c r="J186" s="27">
        <f>RDG!I66</f>
        <v>312432</v>
      </c>
      <c r="K186" s="27">
        <f>RDG!J66</f>
        <v>440361</v>
      </c>
    </row>
    <row r="187" spans="4:11" ht="12.75">
      <c r="D187" s="4" t="s">
        <v>794</v>
      </c>
      <c r="E187" s="4">
        <v>2</v>
      </c>
      <c r="F187" s="4">
        <f>RDG!G67</f>
        <v>186</v>
      </c>
      <c r="G187" s="4">
        <f>IF(RDG!H67=0,"",RDG!H67)</f>
      </c>
      <c r="H187" s="26">
        <f t="shared" si="6"/>
        <v>2219266.44</v>
      </c>
      <c r="I187" s="4">
        <f t="shared" si="7"/>
        <v>0</v>
      </c>
      <c r="J187" s="27">
        <f>RDG!I67</f>
        <v>312432</v>
      </c>
      <c r="K187" s="27">
        <f>RDG!J67</f>
        <v>440361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91610734.73</v>
      </c>
      <c r="I242" s="4">
        <f t="shared" si="13"/>
        <v>0</v>
      </c>
      <c r="J242" s="27">
        <f>Dodatni!I25</f>
        <v>12338001</v>
      </c>
      <c r="K242" s="27">
        <f>Dodatni!J25</f>
        <v>12837376</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33376062.3</v>
      </c>
      <c r="I247" s="4">
        <f t="shared" si="13"/>
        <v>0</v>
      </c>
      <c r="J247" s="27">
        <f>Dodatni!I30</f>
        <v>2345841</v>
      </c>
      <c r="K247" s="27">
        <f>Dodatni!J30</f>
        <v>5610832</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305190.9</v>
      </c>
      <c r="I252" s="4">
        <f t="shared" si="13"/>
        <v>0</v>
      </c>
      <c r="J252" s="27">
        <f>Dodatni!I35</f>
        <v>47340</v>
      </c>
      <c r="K252" s="27">
        <f>Dodatni!J35</f>
        <v>37125</v>
      </c>
    </row>
    <row r="253" spans="4:11" ht="12.75">
      <c r="D253" s="4" t="s">
        <v>555</v>
      </c>
      <c r="E253" s="4">
        <v>3</v>
      </c>
      <c r="F253" s="4">
        <f>Dodatni!H37</f>
        <v>252</v>
      </c>
      <c r="H253" s="26">
        <f t="shared" si="12"/>
        <v>130288656.96</v>
      </c>
      <c r="I253" s="4">
        <f t="shared" si="13"/>
        <v>0</v>
      </c>
      <c r="J253" s="27">
        <f>Dodatni!I37</f>
        <v>14731182</v>
      </c>
      <c r="K253" s="27">
        <f>Dodatni!J37</f>
        <v>18485333</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284793.3</v>
      </c>
      <c r="I259" s="4">
        <f t="shared" si="13"/>
        <v>0</v>
      </c>
      <c r="J259" s="27">
        <f>Dodatni!I45</f>
        <v>36135</v>
      </c>
      <c r="K259" s="27">
        <f>Dodatni!J45</f>
        <v>37125</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13443036.600000001</v>
      </c>
      <c r="I263" s="4">
        <f t="shared" si="13"/>
        <v>0</v>
      </c>
      <c r="J263" s="27">
        <f>Dodatni!I50</f>
        <v>1428940</v>
      </c>
      <c r="K263" s="27">
        <f>Dodatni!J50</f>
        <v>1850995</v>
      </c>
    </row>
    <row r="264" spans="4:11" ht="12.75">
      <c r="D264" s="4" t="s">
        <v>555</v>
      </c>
      <c r="E264" s="4">
        <v>3</v>
      </c>
      <c r="F264" s="4">
        <f>Dodatni!H51</f>
        <v>263</v>
      </c>
      <c r="H264" s="26">
        <f t="shared" si="12"/>
        <v>197891.72</v>
      </c>
      <c r="I264" s="4">
        <f t="shared" si="13"/>
        <v>0</v>
      </c>
      <c r="J264" s="27">
        <f>Dodatni!I51</f>
        <v>22848</v>
      </c>
      <c r="K264" s="27">
        <f>Dodatni!J51</f>
        <v>26198</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1649718.08</v>
      </c>
      <c r="I273" s="4">
        <f t="shared" si="13"/>
        <v>0</v>
      </c>
      <c r="J273" s="27">
        <f>Dodatni!I60</f>
        <v>157376</v>
      </c>
      <c r="K273" s="27">
        <f>Dodatni!J60</f>
        <v>224569</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15015.199999999999</v>
      </c>
      <c r="I275" s="4">
        <f t="shared" si="13"/>
        <v>0</v>
      </c>
      <c r="J275" s="27">
        <f>Dodatni!I62</f>
        <v>3898</v>
      </c>
      <c r="K275" s="27">
        <f>Dodatni!J62</f>
        <v>791</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1149512.72</v>
      </c>
      <c r="I285" s="4">
        <f aca="true" t="shared" si="15" ref="I285:I294">ABS(ROUND(J285,0)-J285)+ABS(ROUND(K285,0)-K285)</f>
        <v>0</v>
      </c>
      <c r="J285" s="27">
        <f>Dodatni!I73</f>
        <v>130452</v>
      </c>
      <c r="K285" s="27">
        <f>Dodatni!J73</f>
        <v>137153</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1714380.15</v>
      </c>
      <c r="I288" s="4">
        <f t="shared" si="15"/>
        <v>0</v>
      </c>
      <c r="J288" s="27">
        <f>Dodatni!I76</f>
        <v>297341</v>
      </c>
      <c r="K288" s="27">
        <f>Dodatni!J76</f>
        <v>150002</v>
      </c>
    </row>
    <row r="289" spans="4:11" ht="12.75">
      <c r="D289" s="4" t="s">
        <v>555</v>
      </c>
      <c r="E289" s="4">
        <v>3</v>
      </c>
      <c r="F289" s="4">
        <f>Dodatni!H78</f>
        <v>288</v>
      </c>
      <c r="H289" s="26">
        <f t="shared" si="14"/>
        <v>5853602.88</v>
      </c>
      <c r="I289" s="4">
        <f t="shared" si="15"/>
        <v>0</v>
      </c>
      <c r="J289" s="27">
        <f>Dodatni!I78</f>
        <v>820739</v>
      </c>
      <c r="K289" s="27">
        <f>Dodatni!J78</f>
        <v>605881</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3150113.4000000004</v>
      </c>
      <c r="I291" s="4">
        <f t="shared" si="15"/>
        <v>0</v>
      </c>
      <c r="J291" s="27">
        <f>Dodatni!I80</f>
        <v>124084</v>
      </c>
      <c r="K291" s="27">
        <f>Dodatni!J80</f>
        <v>481081</v>
      </c>
    </row>
    <row r="292" spans="4:11" ht="12.75">
      <c r="D292" s="4" t="s">
        <v>555</v>
      </c>
      <c r="E292" s="4">
        <v>3</v>
      </c>
      <c r="F292" s="4">
        <f>Dodatni!H81</f>
        <v>291</v>
      </c>
      <c r="H292" s="26">
        <f t="shared" si="14"/>
        <v>2753602.05</v>
      </c>
      <c r="I292" s="4">
        <f t="shared" si="15"/>
        <v>0</v>
      </c>
      <c r="J292" s="27">
        <f>Dodatni!I81</f>
        <v>696655</v>
      </c>
      <c r="K292" s="27">
        <f>Dodatni!J81</f>
        <v>124800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74"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VODOVOD ZAPADNE SLAVONIJE,d.o.o.za javnu vodoopskrbu i odvodnju</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f>RefStr!L21</f>
        <v>0</v>
      </c>
      <c r="V3" s="206" t="s">
        <v>2736</v>
      </c>
      <c r="W3" s="224">
        <f>RefStr!C31</f>
        <v>35400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71642681806</v>
      </c>
      <c r="V4" s="206" t="s">
        <v>2737</v>
      </c>
      <c r="W4" s="224" t="str">
        <f>RefStr!F31</f>
        <v>NOVA GRADIŠKA</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04371593</v>
      </c>
      <c r="V5" s="206" t="s">
        <v>2738</v>
      </c>
      <c r="W5" s="224" t="str">
        <f>RefStr!C33</f>
        <v>IVANA GUNDULIĆA 15D</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030157732</v>
      </c>
      <c r="V6" s="206" t="s">
        <v>2968</v>
      </c>
      <c r="W6" s="224" t="str">
        <f>RefStr!L35</f>
        <v>035 251-056</v>
      </c>
      <c r="X6" s="206" t="s">
        <v>2926</v>
      </c>
      <c r="Y6" s="224" t="str">
        <f>RefStr!C68</f>
        <v>Ana Terzić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INFO@VZS.HR</v>
      </c>
      <c r="X7" s="206" t="s">
        <v>2927</v>
      </c>
      <c r="Y7" s="224" t="str">
        <f>RefStr!C70</f>
        <v>035 251-056</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3600</v>
      </c>
      <c r="X8" s="206" t="s">
        <v>2928</v>
      </c>
      <c r="Y8" s="224" t="str">
        <f>TRIM(UPPER(RefStr!C72))</f>
        <v>ANA.TERZIC@VZS.HR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66</v>
      </c>
      <c r="Q9" s="223">
        <f>RefStr!F58</f>
        <v>71</v>
      </c>
      <c r="R9" s="206" t="s">
        <v>914</v>
      </c>
      <c r="S9" s="224">
        <f>IF(RefStr!F4&lt;&gt;"",RefStr!F4,0)</f>
        <v>44561</v>
      </c>
      <c r="T9" s="206" t="s">
        <v>891</v>
      </c>
      <c r="U9" s="224">
        <f>RefStr!C39</f>
        <v>284</v>
      </c>
      <c r="V9" s="206" t="s">
        <v>2951</v>
      </c>
      <c r="W9" s="224" t="str">
        <f>RefStr!D42</f>
        <v>Skupljanje, pročišćavanje i opskrba vo...</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68</v>
      </c>
      <c r="Q10" s="225">
        <f>RefStr!F56</f>
        <v>72</v>
      </c>
      <c r="R10" s="208" t="s">
        <v>917</v>
      </c>
      <c r="S10" s="225">
        <f>RefStr!C23</f>
        <v>1</v>
      </c>
      <c r="T10" s="208" t="s">
        <v>2973</v>
      </c>
      <c r="U10" s="225" t="str">
        <f>RefStr!D39</f>
        <v>Nova Gradiška</v>
      </c>
      <c r="V10" s="232"/>
      <c r="W10" s="233"/>
      <c r="X10" s="234" t="s">
        <v>2279</v>
      </c>
      <c r="Y10" s="235">
        <f>RefStr!F12</f>
        <v>2021</v>
      </c>
      <c r="Z10" s="208" t="s">
        <v>1771</v>
      </c>
      <c r="AA10" s="225" t="str">
        <f>RefStr!A75</f>
        <v>Rukavina Davor</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C:\Users\ana.terzic\Desktop\GFI 2021\[GFI-POD, Godišnji financijski izvještaj poduzetnika.xls]Dodatni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F59" sqref="F5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437159.3</v>
      </c>
    </row>
    <row r="13" spans="4:17" ht="9.75" customHeight="1">
      <c r="D13" s="152"/>
      <c r="E13" s="158"/>
      <c r="H13" s="23"/>
      <c r="I13" s="159"/>
      <c r="J13" s="159"/>
      <c r="K13" s="152"/>
      <c r="L13" s="152"/>
      <c r="M13" s="152"/>
      <c r="N13" s="152"/>
      <c r="P13" s="50" t="s">
        <v>1561</v>
      </c>
      <c r="Q13" s="51">
        <f>INT(VALUE(M27))/50</f>
        <v>603154.64</v>
      </c>
    </row>
    <row r="14" spans="1:17" ht="15">
      <c r="A14" s="289" t="s">
        <v>1312</v>
      </c>
      <c r="B14" s="289"/>
      <c r="C14" s="289"/>
      <c r="D14" s="160"/>
      <c r="E14" s="161"/>
      <c r="F14" s="287"/>
      <c r="G14" s="288"/>
      <c r="H14" s="288"/>
      <c r="I14" s="152"/>
      <c r="J14" s="310" t="s">
        <v>1978</v>
      </c>
      <c r="K14" s="311"/>
      <c r="L14" s="311"/>
      <c r="M14" s="311"/>
      <c r="N14" s="311"/>
      <c r="P14" s="50" t="s">
        <v>1316</v>
      </c>
      <c r="Q14" s="51">
        <f>INT(VALUE(C27))/100</f>
        <v>716426818.06</v>
      </c>
    </row>
    <row r="15" spans="1:17" ht="19.5" customHeight="1">
      <c r="A15" s="307">
        <f>Skriveni!B59</f>
        <v>7337441384.640001</v>
      </c>
      <c r="B15" s="308"/>
      <c r="C15" s="309"/>
      <c r="D15" s="56"/>
      <c r="E15" s="56"/>
      <c r="F15" s="56"/>
      <c r="G15" s="56"/>
      <c r="H15" s="56"/>
      <c r="I15" s="56"/>
      <c r="J15" s="56"/>
      <c r="K15" s="56"/>
      <c r="L15" s="56"/>
      <c r="M15" s="56"/>
      <c r="N15" s="56"/>
      <c r="P15" s="50" t="s">
        <v>887</v>
      </c>
      <c r="Q15" s="51">
        <f>LEN(Skriveni!B9)</f>
        <v>63</v>
      </c>
    </row>
    <row r="16" spans="4:17" ht="12.75" customHeight="1">
      <c r="D16" s="56"/>
      <c r="E16" s="56"/>
      <c r="F16" s="56"/>
      <c r="G16" s="56"/>
      <c r="H16" s="56"/>
      <c r="I16" s="56"/>
      <c r="P16" s="50" t="s">
        <v>888</v>
      </c>
      <c r="Q16" s="51">
        <f>INT(VALUE(C31))/100</f>
        <v>354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13</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2982</v>
      </c>
      <c r="P19" s="50" t="s">
        <v>890</v>
      </c>
      <c r="Q19" s="51">
        <f>LEN(Skriveni!B12)</f>
        <v>19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284</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35400</v>
      </c>
      <c r="D31" s="343" t="s">
        <v>929</v>
      </c>
      <c r="E31" s="344"/>
      <c r="F31" s="345" t="s">
        <v>2987</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284</v>
      </c>
      <c r="D39" s="358" t="str">
        <f>IF(C39="","Upišite šifru grada/općine",IF(ISNA(LOOKUP(C39,A177:A732,A177:A732)),"Šifra grada/općine ne postoji",IF(LOOKUP(C39,A177:A732,A177:A732)&lt;&gt;C39,"Šifra grada/općine ne postoji",LOOKUP(C39,A177:A732,B177:B732))))</f>
        <v>Nova Gradiška</v>
      </c>
      <c r="E39" s="359"/>
      <c r="F39" s="359"/>
      <c r="G39" s="359"/>
      <c r="H39" s="279" t="s">
        <v>2109</v>
      </c>
      <c r="I39" s="280"/>
      <c r="J39" s="54">
        <f>IF(C39&gt;0,LOOKUP(C39,A177:A732,C177:C732),"")</f>
        <v>12</v>
      </c>
      <c r="K39" s="350" t="str">
        <f>IF(J39="","Upišite šifru grada/općine",LOOKUP(J39,A153:A173,B153:B173))</f>
        <v>BRODSKO-POSAVSKA</v>
      </c>
      <c r="L39" s="350"/>
      <c r="M39" s="350"/>
      <c r="N39" s="350"/>
      <c r="P39" s="50" t="s">
        <v>896</v>
      </c>
      <c r="Q39" s="51">
        <f>C56+2*F56+3*C58+4*F58</f>
        <v>694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68</v>
      </c>
      <c r="D56" s="272" t="s">
        <v>2653</v>
      </c>
      <c r="E56" s="362"/>
      <c r="F56" s="40">
        <v>72</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66</v>
      </c>
      <c r="D58" s="354" t="s">
        <v>2653</v>
      </c>
      <c r="E58" s="354"/>
      <c r="F58" s="40">
        <v>71</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2990</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2992</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71642681806; VODOVOD ZAPADNE SLAVONIJE,d.o.o.za javnu vodoopskrbu i odvodnju</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496887951</v>
      </c>
      <c r="J10" s="66">
        <f>J11+J18+J28+J39+J44</f>
        <v>526212592</v>
      </c>
    </row>
    <row r="11" spans="1:10" ht="13.5" customHeight="1">
      <c r="A11" s="390" t="s">
        <v>904</v>
      </c>
      <c r="B11" s="390"/>
      <c r="C11" s="390"/>
      <c r="D11" s="390"/>
      <c r="E11" s="390"/>
      <c r="F11" s="390"/>
      <c r="G11" s="15">
        <v>3</v>
      </c>
      <c r="H11" s="16"/>
      <c r="I11" s="66">
        <f>SUM(I12:I17)</f>
        <v>123601</v>
      </c>
      <c r="J11" s="66">
        <f>SUM(J12:J17)</f>
        <v>125000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v>13794</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v>111206</v>
      </c>
      <c r="J16" s="67">
        <v>111206</v>
      </c>
    </row>
    <row r="17" spans="1:10" ht="13.5" customHeight="1">
      <c r="A17" s="387" t="s">
        <v>1891</v>
      </c>
      <c r="B17" s="387"/>
      <c r="C17" s="387"/>
      <c r="D17" s="387"/>
      <c r="E17" s="387"/>
      <c r="F17" s="387"/>
      <c r="G17" s="15">
        <v>9</v>
      </c>
      <c r="H17" s="16"/>
      <c r="I17" s="67">
        <v>12395</v>
      </c>
      <c r="J17" s="67"/>
    </row>
    <row r="18" spans="1:10" ht="13.5" customHeight="1">
      <c r="A18" s="390" t="s">
        <v>965</v>
      </c>
      <c r="B18" s="390"/>
      <c r="C18" s="390"/>
      <c r="D18" s="390"/>
      <c r="E18" s="390"/>
      <c r="F18" s="390"/>
      <c r="G18" s="15">
        <v>10</v>
      </c>
      <c r="H18" s="16"/>
      <c r="I18" s="66">
        <f>SUM(I19:I27)</f>
        <v>489798513</v>
      </c>
      <c r="J18" s="66">
        <f>SUM(J19:J27)</f>
        <v>523491035</v>
      </c>
    </row>
    <row r="19" spans="1:10" ht="13.5" customHeight="1">
      <c r="A19" s="387" t="s">
        <v>733</v>
      </c>
      <c r="B19" s="387"/>
      <c r="C19" s="387"/>
      <c r="D19" s="387"/>
      <c r="E19" s="387"/>
      <c r="F19" s="387"/>
      <c r="G19" s="15">
        <v>11</v>
      </c>
      <c r="H19" s="16"/>
      <c r="I19" s="67">
        <v>2700270</v>
      </c>
      <c r="J19" s="67">
        <v>2700270</v>
      </c>
    </row>
    <row r="20" spans="1:10" ht="13.5" customHeight="1">
      <c r="A20" s="387" t="s">
        <v>796</v>
      </c>
      <c r="B20" s="387"/>
      <c r="C20" s="387"/>
      <c r="D20" s="387"/>
      <c r="E20" s="387"/>
      <c r="F20" s="387"/>
      <c r="G20" s="15">
        <v>12</v>
      </c>
      <c r="H20" s="16"/>
      <c r="I20" s="67">
        <v>414715966</v>
      </c>
      <c r="J20" s="67">
        <v>434969442</v>
      </c>
    </row>
    <row r="21" spans="1:10" ht="13.5" customHeight="1">
      <c r="A21" s="387" t="s">
        <v>734</v>
      </c>
      <c r="B21" s="387"/>
      <c r="C21" s="387"/>
      <c r="D21" s="387"/>
      <c r="E21" s="387"/>
      <c r="F21" s="387"/>
      <c r="G21" s="15">
        <v>13</v>
      </c>
      <c r="H21" s="16"/>
      <c r="I21" s="67">
        <v>849693</v>
      </c>
      <c r="J21" s="67">
        <v>1060740</v>
      </c>
    </row>
    <row r="22" spans="1:10" ht="13.5" customHeight="1">
      <c r="A22" s="387" t="s">
        <v>405</v>
      </c>
      <c r="B22" s="387"/>
      <c r="C22" s="387"/>
      <c r="D22" s="387"/>
      <c r="E22" s="387"/>
      <c r="F22" s="387"/>
      <c r="G22" s="15">
        <v>14</v>
      </c>
      <c r="H22" s="16"/>
      <c r="I22" s="67">
        <v>3707570</v>
      </c>
      <c r="J22" s="67">
        <v>3260569</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v>100000</v>
      </c>
      <c r="J24" s="67"/>
    </row>
    <row r="25" spans="1:10" ht="13.5" customHeight="1">
      <c r="A25" s="387" t="s">
        <v>2692</v>
      </c>
      <c r="B25" s="387"/>
      <c r="C25" s="387"/>
      <c r="D25" s="387"/>
      <c r="E25" s="387"/>
      <c r="F25" s="387"/>
      <c r="G25" s="15">
        <v>17</v>
      </c>
      <c r="H25" s="16"/>
      <c r="I25" s="67">
        <v>67725014</v>
      </c>
      <c r="J25" s="67">
        <v>81500014</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4115591</v>
      </c>
      <c r="J28" s="66">
        <f>SUM(J29:J38)</f>
        <v>1875676</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v>4115591</v>
      </c>
      <c r="J36" s="67">
        <v>1875676</v>
      </c>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2850246</v>
      </c>
      <c r="J39" s="66">
        <f>SUM(J40:J43)</f>
        <v>720881</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v>2850246</v>
      </c>
      <c r="J43" s="67">
        <v>720881</v>
      </c>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11977097</v>
      </c>
      <c r="J45" s="66">
        <f>J46+J54+J61+J71</f>
        <v>14112621</v>
      </c>
    </row>
    <row r="46" spans="1:10" ht="13.5" customHeight="1">
      <c r="A46" s="390" t="s">
        <v>1264</v>
      </c>
      <c r="B46" s="390"/>
      <c r="C46" s="390"/>
      <c r="D46" s="390"/>
      <c r="E46" s="390"/>
      <c r="F46" s="390"/>
      <c r="G46" s="15">
        <v>38</v>
      </c>
      <c r="H46" s="16"/>
      <c r="I46" s="66">
        <f>SUM(I47:I53)</f>
        <v>985503</v>
      </c>
      <c r="J46" s="66">
        <f>SUM(J47:J53)</f>
        <v>672832</v>
      </c>
    </row>
    <row r="47" spans="1:10" ht="13.5" customHeight="1">
      <c r="A47" s="387" t="s">
        <v>1892</v>
      </c>
      <c r="B47" s="387"/>
      <c r="C47" s="387"/>
      <c r="D47" s="387"/>
      <c r="E47" s="387"/>
      <c r="F47" s="387"/>
      <c r="G47" s="15">
        <v>39</v>
      </c>
      <c r="H47" s="16"/>
      <c r="I47" s="67">
        <v>985503</v>
      </c>
      <c r="J47" s="67">
        <v>672832</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10892229</v>
      </c>
      <c r="J54" s="66">
        <f>SUM(J55:J60)</f>
        <v>12604399</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6936212</v>
      </c>
      <c r="J57" s="67">
        <v>5842979</v>
      </c>
    </row>
    <row r="58" spans="1:10" ht="13.5" customHeight="1">
      <c r="A58" s="387" t="s">
        <v>2009</v>
      </c>
      <c r="B58" s="387"/>
      <c r="C58" s="387"/>
      <c r="D58" s="387"/>
      <c r="E58" s="387"/>
      <c r="F58" s="387"/>
      <c r="G58" s="15">
        <v>50</v>
      </c>
      <c r="H58" s="16"/>
      <c r="I58" s="67">
        <v>536987</v>
      </c>
      <c r="J58" s="67">
        <v>524624</v>
      </c>
    </row>
    <row r="59" spans="1:10" ht="13.5" customHeight="1">
      <c r="A59" s="387" t="s">
        <v>2010</v>
      </c>
      <c r="B59" s="387"/>
      <c r="C59" s="387"/>
      <c r="D59" s="387"/>
      <c r="E59" s="387"/>
      <c r="F59" s="387"/>
      <c r="G59" s="15">
        <v>51</v>
      </c>
      <c r="H59" s="16"/>
      <c r="I59" s="67">
        <v>2510433</v>
      </c>
      <c r="J59" s="67">
        <v>1322489</v>
      </c>
    </row>
    <row r="60" spans="1:10" ht="13.5" customHeight="1">
      <c r="A60" s="387" t="s">
        <v>1255</v>
      </c>
      <c r="B60" s="387"/>
      <c r="C60" s="387"/>
      <c r="D60" s="387"/>
      <c r="E60" s="387"/>
      <c r="F60" s="387"/>
      <c r="G60" s="15">
        <v>52</v>
      </c>
      <c r="H60" s="16"/>
      <c r="I60" s="67">
        <v>908597</v>
      </c>
      <c r="J60" s="67">
        <v>4914307</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99365</v>
      </c>
      <c r="J71" s="67">
        <v>835390</v>
      </c>
    </row>
    <row r="72" spans="1:10" ht="24.75" customHeight="1">
      <c r="A72" s="385" t="s">
        <v>591</v>
      </c>
      <c r="B72" s="385"/>
      <c r="C72" s="385"/>
      <c r="D72" s="385"/>
      <c r="E72" s="385"/>
      <c r="F72" s="385"/>
      <c r="G72" s="15">
        <v>64</v>
      </c>
      <c r="H72" s="16"/>
      <c r="I72" s="67">
        <v>1149</v>
      </c>
      <c r="J72" s="67">
        <v>2024</v>
      </c>
    </row>
    <row r="73" spans="1:10" ht="13.5" customHeight="1">
      <c r="A73" s="385" t="s">
        <v>1267</v>
      </c>
      <c r="B73" s="385"/>
      <c r="C73" s="385"/>
      <c r="D73" s="385"/>
      <c r="E73" s="385"/>
      <c r="F73" s="385"/>
      <c r="G73" s="15">
        <v>65</v>
      </c>
      <c r="H73" s="16"/>
      <c r="I73" s="66">
        <f>I9+I10+I45+I72</f>
        <v>508866197</v>
      </c>
      <c r="J73" s="66">
        <f>J9+J10+J45+J72</f>
        <v>540327237</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126976086</v>
      </c>
      <c r="J76" s="66">
        <f>J77+J78+J79+J85+J86+J92+J95+J98</f>
        <v>127416448</v>
      </c>
      <c r="L76" s="2" t="s">
        <v>1209</v>
      </c>
    </row>
    <row r="77" spans="1:10" ht="13.5" customHeight="1">
      <c r="A77" s="390" t="s">
        <v>1857</v>
      </c>
      <c r="B77" s="390"/>
      <c r="C77" s="390"/>
      <c r="D77" s="390"/>
      <c r="E77" s="390"/>
      <c r="F77" s="390"/>
      <c r="G77" s="15">
        <v>68</v>
      </c>
      <c r="H77" s="16"/>
      <c r="I77" s="67">
        <v>129556700</v>
      </c>
      <c r="J77" s="67">
        <v>129556700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v>30980</v>
      </c>
      <c r="J85" s="67">
        <v>30980</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-2924026</v>
      </c>
      <c r="J92" s="66">
        <f>J93-J94</f>
        <v>-2611593</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2924026</v>
      </c>
      <c r="J94" s="67">
        <v>2611593</v>
      </c>
    </row>
    <row r="95" spans="1:12" ht="13.5" customHeight="1">
      <c r="A95" s="390" t="s">
        <v>2487</v>
      </c>
      <c r="B95" s="390"/>
      <c r="C95" s="390"/>
      <c r="D95" s="390"/>
      <c r="E95" s="390"/>
      <c r="F95" s="390"/>
      <c r="G95" s="15">
        <v>86</v>
      </c>
      <c r="H95" s="16"/>
      <c r="I95" s="66">
        <f>I96-I97</f>
        <v>312432</v>
      </c>
      <c r="J95" s="66">
        <f>J96-J97</f>
        <v>440361</v>
      </c>
      <c r="L95" s="2" t="s">
        <v>1209</v>
      </c>
    </row>
    <row r="96" spans="1:10" ht="13.5" customHeight="1">
      <c r="A96" s="387" t="s">
        <v>1257</v>
      </c>
      <c r="B96" s="387"/>
      <c r="C96" s="387"/>
      <c r="D96" s="387"/>
      <c r="E96" s="387"/>
      <c r="F96" s="387"/>
      <c r="G96" s="15">
        <v>87</v>
      </c>
      <c r="H96" s="16"/>
      <c r="I96" s="67">
        <v>312432</v>
      </c>
      <c r="J96" s="67">
        <v>440361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326662</v>
      </c>
      <c r="J99" s="66">
        <f>SUM(J100:J105)</f>
        <v>326662</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326662</v>
      </c>
      <c r="J102" s="67">
        <v>326662</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13369229</v>
      </c>
      <c r="J106" s="66">
        <f>SUM(J107:J117)</f>
        <v>5942353</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v>4115591</v>
      </c>
      <c r="J111" s="67"/>
    </row>
    <row r="112" spans="1:10" ht="13.5" customHeight="1">
      <c r="A112" s="387" t="s">
        <v>2021</v>
      </c>
      <c r="B112" s="387"/>
      <c r="C112" s="387"/>
      <c r="D112" s="387"/>
      <c r="E112" s="387"/>
      <c r="F112" s="387"/>
      <c r="G112" s="15">
        <v>103</v>
      </c>
      <c r="H112" s="16"/>
      <c r="I112" s="67">
        <v>6355670</v>
      </c>
      <c r="J112" s="67">
        <v>5221472</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2897968</v>
      </c>
      <c r="J116" s="67">
        <v>720881</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11440957</v>
      </c>
      <c r="J118" s="66">
        <f>SUM(J119:J132)</f>
        <v>16608946</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3178167</v>
      </c>
      <c r="J124" s="67">
        <v>2092079</v>
      </c>
    </row>
    <row r="125" spans="1:10" ht="13.5" customHeight="1">
      <c r="A125" s="387" t="s">
        <v>2016</v>
      </c>
      <c r="B125" s="387"/>
      <c r="C125" s="387"/>
      <c r="D125" s="387"/>
      <c r="E125" s="387"/>
      <c r="F125" s="387"/>
      <c r="G125" s="15">
        <v>116</v>
      </c>
      <c r="H125" s="16"/>
      <c r="I125" s="67">
        <v>31269</v>
      </c>
      <c r="J125" s="67">
        <v>1878981</v>
      </c>
    </row>
    <row r="126" spans="1:10" ht="13.5" customHeight="1">
      <c r="A126" s="387" t="s">
        <v>2017</v>
      </c>
      <c r="B126" s="387"/>
      <c r="C126" s="387"/>
      <c r="D126" s="387"/>
      <c r="E126" s="387"/>
      <c r="F126" s="387"/>
      <c r="G126" s="15">
        <v>117</v>
      </c>
      <c r="H126" s="16"/>
      <c r="I126" s="67">
        <v>6221091</v>
      </c>
      <c r="J126" s="67">
        <v>9827735</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482653</v>
      </c>
      <c r="J128" s="67">
        <v>557373</v>
      </c>
    </row>
    <row r="129" spans="1:10" ht="13.5" customHeight="1">
      <c r="A129" s="387" t="s">
        <v>2023</v>
      </c>
      <c r="B129" s="387"/>
      <c r="C129" s="387"/>
      <c r="D129" s="387"/>
      <c r="E129" s="387"/>
      <c r="F129" s="387"/>
      <c r="G129" s="15">
        <v>120</v>
      </c>
      <c r="H129" s="16"/>
      <c r="I129" s="67">
        <v>350839</v>
      </c>
      <c r="J129" s="67">
        <v>335043</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1176938</v>
      </c>
      <c r="J132" s="67">
        <v>1917735</v>
      </c>
    </row>
    <row r="133" spans="1:10" ht="24.75" customHeight="1">
      <c r="A133" s="385" t="s">
        <v>593</v>
      </c>
      <c r="B133" s="385"/>
      <c r="C133" s="385"/>
      <c r="D133" s="385"/>
      <c r="E133" s="385"/>
      <c r="F133" s="385"/>
      <c r="G133" s="15">
        <v>124</v>
      </c>
      <c r="H133" s="16"/>
      <c r="I133" s="67">
        <v>356753263</v>
      </c>
      <c r="J133" s="67">
        <v>390032828</v>
      </c>
    </row>
    <row r="134" spans="1:10" ht="13.5" customHeight="1">
      <c r="A134" s="385" t="s">
        <v>360</v>
      </c>
      <c r="B134" s="385"/>
      <c r="C134" s="385"/>
      <c r="D134" s="385"/>
      <c r="E134" s="385"/>
      <c r="F134" s="385"/>
      <c r="G134" s="15">
        <v>125</v>
      </c>
      <c r="H134" s="16"/>
      <c r="I134" s="66">
        <f>I76+I99+I106+I118+I133</f>
        <v>508866197</v>
      </c>
      <c r="J134" s="66">
        <f>J76+J99+J106+J118+J133</f>
        <v>540327237</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20" sqref="J2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71642681806; VODOVOD ZAPADNE SLAVONIJE,d.o.o.za javnu vodoopskrbu i odvodnju</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20791634</v>
      </c>
      <c r="J8" s="80">
        <f>SUM(J9:J13)</f>
        <v>30159928</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14731182</v>
      </c>
      <c r="J10" s="67">
        <v>18485333</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6060452</v>
      </c>
      <c r="J13" s="67">
        <v>11674595</v>
      </c>
    </row>
    <row r="14" spans="1:10" s="2" customFormat="1" ht="14.25" customHeight="1">
      <c r="A14" s="385" t="s">
        <v>2492</v>
      </c>
      <c r="B14" s="385"/>
      <c r="C14" s="385"/>
      <c r="D14" s="385"/>
      <c r="E14" s="385"/>
      <c r="F14" s="385"/>
      <c r="G14" s="15">
        <v>133</v>
      </c>
      <c r="H14" s="16"/>
      <c r="I14" s="66">
        <f>I15+I16+I20+I24+I25+I26+I29+I36</f>
        <v>20311318</v>
      </c>
      <c r="J14" s="66">
        <f>J15+J16+J20+J24+J25+J26+J29+J36</f>
        <v>29706653</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4699633</v>
      </c>
      <c r="J16" s="66">
        <f>SUM(J17:J19)</f>
        <v>6093010</v>
      </c>
    </row>
    <row r="17" spans="1:10" s="2" customFormat="1" ht="14.25" customHeight="1">
      <c r="A17" s="413" t="s">
        <v>1273</v>
      </c>
      <c r="B17" s="413"/>
      <c r="C17" s="413"/>
      <c r="D17" s="413"/>
      <c r="E17" s="413"/>
      <c r="F17" s="413"/>
      <c r="G17" s="15">
        <v>136</v>
      </c>
      <c r="H17" s="16"/>
      <c r="I17" s="67">
        <v>2834419</v>
      </c>
      <c r="J17" s="67">
        <v>3426808</v>
      </c>
    </row>
    <row r="18" spans="1:10" s="2" customFormat="1" ht="14.25" customHeight="1">
      <c r="A18" s="413" t="s">
        <v>1274</v>
      </c>
      <c r="B18" s="413"/>
      <c r="C18" s="413"/>
      <c r="D18" s="413"/>
      <c r="E18" s="413"/>
      <c r="F18" s="413"/>
      <c r="G18" s="15">
        <v>137</v>
      </c>
      <c r="H18" s="16"/>
      <c r="I18" s="67"/>
      <c r="J18" s="67">
        <v>265591</v>
      </c>
    </row>
    <row r="19" spans="1:10" s="2" customFormat="1" ht="14.25" customHeight="1">
      <c r="A19" s="413" t="s">
        <v>2959</v>
      </c>
      <c r="B19" s="413"/>
      <c r="C19" s="413"/>
      <c r="D19" s="413"/>
      <c r="E19" s="413"/>
      <c r="F19" s="413"/>
      <c r="G19" s="15">
        <v>138</v>
      </c>
      <c r="H19" s="16"/>
      <c r="I19" s="67">
        <v>1865214</v>
      </c>
      <c r="J19" s="67">
        <v>2400611</v>
      </c>
    </row>
    <row r="20" spans="1:10" s="2" customFormat="1" ht="14.25" customHeight="1">
      <c r="A20" s="387" t="s">
        <v>2494</v>
      </c>
      <c r="B20" s="387"/>
      <c r="C20" s="387"/>
      <c r="D20" s="387"/>
      <c r="E20" s="387"/>
      <c r="F20" s="387"/>
      <c r="G20" s="15">
        <v>139</v>
      </c>
      <c r="H20" s="16"/>
      <c r="I20" s="66">
        <f>SUM(I21:I23)</f>
        <v>8108398</v>
      </c>
      <c r="J20" s="66">
        <f>SUM(J21:J23)</f>
        <v>8822482</v>
      </c>
    </row>
    <row r="21" spans="1:10" s="2" customFormat="1" ht="14.25" customHeight="1">
      <c r="A21" s="413" t="s">
        <v>960</v>
      </c>
      <c r="B21" s="413"/>
      <c r="C21" s="413"/>
      <c r="D21" s="413"/>
      <c r="E21" s="413"/>
      <c r="F21" s="413"/>
      <c r="G21" s="15">
        <v>140</v>
      </c>
      <c r="H21" s="16"/>
      <c r="I21" s="67">
        <v>5149176</v>
      </c>
      <c r="J21" s="67">
        <v>5678473</v>
      </c>
    </row>
    <row r="22" spans="1:10" s="2" customFormat="1" ht="14.25" customHeight="1">
      <c r="A22" s="413" t="s">
        <v>1883</v>
      </c>
      <c r="B22" s="413"/>
      <c r="C22" s="413"/>
      <c r="D22" s="413"/>
      <c r="E22" s="413"/>
      <c r="F22" s="413"/>
      <c r="G22" s="15">
        <v>141</v>
      </c>
      <c r="H22" s="16"/>
      <c r="I22" s="67">
        <v>1890890</v>
      </c>
      <c r="J22" s="67">
        <v>1993375</v>
      </c>
    </row>
    <row r="23" spans="1:10" s="2" customFormat="1" ht="14.25" customHeight="1">
      <c r="A23" s="413" t="s">
        <v>1884</v>
      </c>
      <c r="B23" s="413"/>
      <c r="C23" s="413"/>
      <c r="D23" s="413"/>
      <c r="E23" s="413"/>
      <c r="F23" s="413"/>
      <c r="G23" s="15">
        <v>142</v>
      </c>
      <c r="H23" s="16"/>
      <c r="I23" s="67">
        <v>1068332</v>
      </c>
      <c r="J23" s="67">
        <v>1150634</v>
      </c>
    </row>
    <row r="24" spans="1:10" s="2" customFormat="1" ht="14.25" customHeight="1">
      <c r="A24" s="387" t="s">
        <v>1006</v>
      </c>
      <c r="B24" s="387"/>
      <c r="C24" s="387"/>
      <c r="D24" s="387"/>
      <c r="E24" s="387"/>
      <c r="F24" s="387"/>
      <c r="G24" s="15">
        <v>143</v>
      </c>
      <c r="H24" s="16"/>
      <c r="I24" s="67">
        <v>5937292</v>
      </c>
      <c r="J24" s="67">
        <v>11780032</v>
      </c>
    </row>
    <row r="25" spans="1:10" s="2" customFormat="1" ht="14.25" customHeight="1">
      <c r="A25" s="387" t="s">
        <v>1007</v>
      </c>
      <c r="B25" s="387"/>
      <c r="C25" s="387"/>
      <c r="D25" s="387"/>
      <c r="E25" s="387"/>
      <c r="F25" s="387"/>
      <c r="G25" s="15">
        <v>144</v>
      </c>
      <c r="H25" s="16"/>
      <c r="I25" s="67">
        <v>1077251</v>
      </c>
      <c r="J25" s="67">
        <v>1297731</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488744</v>
      </c>
      <c r="J36" s="67">
        <v>1713398</v>
      </c>
    </row>
    <row r="37" spans="1:10" s="2" customFormat="1" ht="14.25" customHeight="1">
      <c r="A37" s="385" t="s">
        <v>2497</v>
      </c>
      <c r="B37" s="385"/>
      <c r="C37" s="385"/>
      <c r="D37" s="385"/>
      <c r="E37" s="385"/>
      <c r="F37" s="385"/>
      <c r="G37" s="15">
        <v>156</v>
      </c>
      <c r="H37" s="16"/>
      <c r="I37" s="66">
        <f>SUM(I38:I47)</f>
        <v>130473</v>
      </c>
      <c r="J37" s="66">
        <f>SUM(J38:J47)</f>
        <v>137173</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130452</v>
      </c>
      <c r="J44" s="67">
        <v>137153</v>
      </c>
    </row>
    <row r="45" spans="1:10" s="2" customFormat="1" ht="14.25" customHeight="1">
      <c r="A45" s="387" t="s">
        <v>2961</v>
      </c>
      <c r="B45" s="387"/>
      <c r="C45" s="387"/>
      <c r="D45" s="387"/>
      <c r="E45" s="387"/>
      <c r="F45" s="387"/>
      <c r="G45" s="15">
        <v>164</v>
      </c>
      <c r="H45" s="16"/>
      <c r="I45" s="67">
        <v>21</v>
      </c>
      <c r="J45" s="67">
        <v>20</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298357</v>
      </c>
      <c r="J48" s="66">
        <f>SUM(J49:J55)</f>
        <v>150087</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297341</v>
      </c>
      <c r="J51" s="67">
        <v>150002</v>
      </c>
    </row>
    <row r="52" spans="1:10" s="2" customFormat="1" ht="14.25" customHeight="1">
      <c r="A52" s="408" t="s">
        <v>1090</v>
      </c>
      <c r="B52" s="408"/>
      <c r="C52" s="408"/>
      <c r="D52" s="408"/>
      <c r="E52" s="408"/>
      <c r="F52" s="408"/>
      <c r="G52" s="15">
        <v>171</v>
      </c>
      <c r="H52" s="16"/>
      <c r="I52" s="67">
        <v>1016</v>
      </c>
      <c r="J52" s="67">
        <v>85</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20922107</v>
      </c>
      <c r="J60" s="66">
        <f>J8+J37+J56+J57</f>
        <v>30297101</v>
      </c>
    </row>
    <row r="61" spans="1:10" s="2" customFormat="1" ht="14.25" customHeight="1">
      <c r="A61" s="385" t="s">
        <v>2500</v>
      </c>
      <c r="B61" s="385"/>
      <c r="C61" s="385"/>
      <c r="D61" s="385"/>
      <c r="E61" s="385"/>
      <c r="F61" s="385"/>
      <c r="G61" s="15">
        <v>180</v>
      </c>
      <c r="H61" s="16"/>
      <c r="I61" s="66">
        <f>I14+I48+I58+I59</f>
        <v>20609675</v>
      </c>
      <c r="J61" s="66">
        <f>J14+J48+J58+J59</f>
        <v>29856740</v>
      </c>
    </row>
    <row r="62" spans="1:12" s="2" customFormat="1" ht="14.25" customHeight="1">
      <c r="A62" s="385" t="s">
        <v>2501</v>
      </c>
      <c r="B62" s="385"/>
      <c r="C62" s="385"/>
      <c r="D62" s="385"/>
      <c r="E62" s="385"/>
      <c r="F62" s="385"/>
      <c r="G62" s="15">
        <v>181</v>
      </c>
      <c r="H62" s="16"/>
      <c r="I62" s="66">
        <f>I60-I61</f>
        <v>312432</v>
      </c>
      <c r="J62" s="66">
        <f>J60-J61</f>
        <v>440361</v>
      </c>
      <c r="L62" s="2" t="s">
        <v>1209</v>
      </c>
    </row>
    <row r="63" spans="1:10" s="2" customFormat="1" ht="14.25" customHeight="1">
      <c r="A63" s="408" t="s">
        <v>2502</v>
      </c>
      <c r="B63" s="408"/>
      <c r="C63" s="408"/>
      <c r="D63" s="408"/>
      <c r="E63" s="408"/>
      <c r="F63" s="408"/>
      <c r="G63" s="15">
        <v>182</v>
      </c>
      <c r="H63" s="16"/>
      <c r="I63" s="66">
        <f>IF(I60&gt;I61,I60-I61,0)</f>
        <v>312432</v>
      </c>
      <c r="J63" s="66">
        <f>IF(J60&gt;J61,J60-J61,0)</f>
        <v>440361</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312432</v>
      </c>
      <c r="J66" s="66">
        <f>J62-J65</f>
        <v>440361</v>
      </c>
      <c r="L66" s="2" t="s">
        <v>1209</v>
      </c>
    </row>
    <row r="67" spans="1:10" s="2" customFormat="1" ht="14.25" customHeight="1">
      <c r="A67" s="408" t="s">
        <v>2505</v>
      </c>
      <c r="B67" s="408"/>
      <c r="C67" s="408"/>
      <c r="D67" s="408"/>
      <c r="E67" s="408"/>
      <c r="F67" s="408"/>
      <c r="G67" s="15">
        <v>186</v>
      </c>
      <c r="H67" s="16"/>
      <c r="I67" s="66">
        <f>IF(I66&gt;0,I66,0)</f>
        <v>312432</v>
      </c>
      <c r="J67" s="66">
        <f>IF(J66&gt;0,J66,0)</f>
        <v>440361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17" activePane="bottomLeft" state="frozen"/>
      <selection pane="topLeft" activeCell="A1" sqref="A1"/>
      <selection pane="bottomLeft" activeCell="A36" sqref="A36:J3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71642681806; VODOVOD ZAPADNE SLAVONIJE,d.o.o.za javnu vodoopskrbu i odvodnju</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v>12338001</v>
      </c>
      <c r="J25" s="90">
        <v>12837376</v>
      </c>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v>2345841</v>
      </c>
      <c r="J30" s="73">
        <v>5610832</v>
      </c>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v>47340</v>
      </c>
      <c r="J35" s="74">
        <v>37125</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14731182</v>
      </c>
      <c r="J37" s="90">
        <v>18485333</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v>36135</v>
      </c>
      <c r="J45" s="73">
        <v>37125</v>
      </c>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1428940</v>
      </c>
      <c r="J50" s="73">
        <v>1850995</v>
      </c>
    </row>
    <row r="51" spans="1:10" s="2" customFormat="1" ht="24.75" customHeight="1">
      <c r="A51" s="408" t="s">
        <v>2106</v>
      </c>
      <c r="B51" s="408"/>
      <c r="C51" s="408"/>
      <c r="D51" s="408"/>
      <c r="E51" s="408"/>
      <c r="F51" s="408"/>
      <c r="G51" s="447"/>
      <c r="H51" s="15">
        <v>263</v>
      </c>
      <c r="I51" s="73">
        <v>22848</v>
      </c>
      <c r="J51" s="73">
        <v>26198</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157376</v>
      </c>
      <c r="J60" s="73">
        <v>224569</v>
      </c>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v>3898</v>
      </c>
      <c r="J62" s="73">
        <v>791</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130452</v>
      </c>
      <c r="J73" s="90">
        <v>137153</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v>297341</v>
      </c>
      <c r="J76" s="74">
        <v>150002</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820739</v>
      </c>
      <c r="J78" s="220">
        <f>SUM(J79:J82)</f>
        <v>605881</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v>124084</v>
      </c>
      <c r="J80" s="73">
        <v>481081</v>
      </c>
    </row>
    <row r="81" spans="1:10" s="2" customFormat="1" ht="13.5" customHeight="1">
      <c r="A81" s="408" t="s">
        <v>201</v>
      </c>
      <c r="B81" s="408"/>
      <c r="C81" s="408"/>
      <c r="D81" s="408"/>
      <c r="E81" s="408"/>
      <c r="F81" s="408"/>
      <c r="G81" s="447"/>
      <c r="H81" s="15">
        <v>291</v>
      </c>
      <c r="I81" s="73">
        <v>696655</v>
      </c>
      <c r="J81" s="73">
        <v>124800</v>
      </c>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71642681806; VODOVOD ZAPADNE SLAVONIJE,d.o.o.za javnu vodoopskrbu i odvodnju</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71642681806; VODOVOD ZAPADNE SLAVONIJE,d.o.o.za javnu vodoopskrbu i odvodnju</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71642681806; VODOVOD ZAPADNE SLAVONIJE,d.o.o.za javnu vodoopskrbu i odvodnju</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Ana Terzić</cp:lastModifiedBy>
  <cp:lastPrinted>2022-04-27T10:30:03Z</cp:lastPrinted>
  <dcterms:created xsi:type="dcterms:W3CDTF">2008-10-17T11:51:54Z</dcterms:created>
  <dcterms:modified xsi:type="dcterms:W3CDTF">2022-04-27T10:32:26Z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